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ambio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'Cambios'!$A$7:$Q$127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 [$€-es-ES]"/>
    <numFmt numFmtId="165" formatCode="0.0%"/>
    <numFmt numFmtId="166" formatCode="0 &quot;días&quot;"/>
    <numFmt numFmtId="167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43447"/>
      <sz val="10"/>
    </font>
    <font>
      <name val="Calibri"/>
      <i val="1"/>
      <color rgb="00617384"/>
      <sz val="9"/>
    </font>
    <font>
      <name val="Calibri"/>
      <b val="1"/>
      <color rgb="00243447"/>
      <sz val="10"/>
    </font>
  </fonts>
  <fills count="8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6E8"/>
      </patternFill>
    </fill>
    <fill>
      <patternFill patternType="solid">
        <fgColor rgb="00FFFFFF"/>
      </patternFill>
    </fill>
    <fill>
      <patternFill patternType="solid">
        <fgColor rgb="00F4F7F8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243447"/>
        <sz val="10"/>
      </font>
      <fill>
        <patternFill patternType="solid">
          <fgColor rgb="00F2B84B"/>
        </patternFill>
      </fill>
    </dxf>
    <dxf>
      <font>
        <name val="Calibri"/>
        <b val="1"/>
        <color rgb="00FFFFFF"/>
        <sz val="10"/>
      </font>
      <fill>
        <patternFill patternType="solid">
          <fgColor rgb="000F6B45"/>
        </patternFill>
      </fill>
    </dxf>
    <dxf>
      <font>
        <name val="Calibri"/>
        <b val="1"/>
        <color rgb="00FFFFFF"/>
        <sz val="10"/>
      </font>
      <fill>
        <patternFill patternType="solid">
          <fgColor rgb="00D6553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Cambios por estado de aplicación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'Resumen'!E3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'Resumen'!$D$4:$D$6</f>
            </numRef>
          </cat>
          <val>
            <numRef>
              <f>'Resumen'!$E$4:$E$6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cambios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7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3" customWidth="1" min="3" max="3"/>
    <col width="23" customWidth="1" min="4" max="4"/>
    <col width="14" customWidth="1" min="5" max="5"/>
    <col width="3" customWidth="1" min="6" max="6"/>
    <col width="14" customWidth="1" min="7" max="7"/>
    <col width="14" customWidth="1" min="8" max="8"/>
  </cols>
  <sheetData>
    <row r="1" ht="28" customHeight="1">
      <c r="A1" s="1" t="inlineStr">
        <is>
          <t>Resumen del registro de cambios de reserva</t>
        </is>
      </c>
      <c r="B1" s="28" t="n"/>
      <c r="C1" s="28" t="n"/>
      <c r="D1" s="28" t="n"/>
      <c r="E1" s="28" t="n"/>
      <c r="F1" s="28" t="n"/>
      <c r="G1" s="28" t="n"/>
      <c r="H1" s="29" t="n"/>
    </row>
    <row r="2"/>
    <row r="3">
      <c r="A3" s="2" t="inlineStr">
        <is>
          <t>Indicador</t>
        </is>
      </c>
      <c r="B3" s="2" t="inlineStr">
        <is>
          <t>Resultado</t>
        </is>
      </c>
      <c r="D3" s="2" t="inlineStr">
        <is>
          <t>Estado de aplicación</t>
        </is>
      </c>
      <c r="E3" s="2" t="inlineStr">
        <is>
          <t>Cambios</t>
        </is>
      </c>
    </row>
    <row r="4">
      <c r="A4" s="3" t="inlineStr">
        <is>
          <t>Total de cambios registrados</t>
        </is>
      </c>
      <c r="B4" s="4">
        <f>COUNTIF(Cambios!$A$8:$A$127,"&lt;&gt;")</f>
        <v/>
      </c>
      <c r="D4" s="3" t="inlineStr">
        <is>
          <t>Pendiente</t>
        </is>
      </c>
      <c r="E4" s="5">
        <f>COUNTIFS(Cambios!$A$8:$A$127,"&lt;&gt;",Cambios!$L$8:$L$127,D4)</f>
        <v/>
      </c>
    </row>
    <row r="5">
      <c r="A5" s="6" t="inlineStr">
        <is>
          <t>Pendientes de aprobación</t>
        </is>
      </c>
      <c r="B5" s="7">
        <f>IF($B$4=0,"",COUNTIFS(Cambios!$A$8:$A$127,"&lt;&gt;",Cambios!$K$8:$K$127,"Pendiente"))</f>
        <v/>
      </c>
      <c r="D5" s="6" t="inlineStr">
        <is>
          <t>Aplicado</t>
        </is>
      </c>
      <c r="E5" s="8">
        <f>COUNTIFS(Cambios!$A$8:$A$127,"&lt;&gt;",Cambios!$L$8:$L$127,D5)</f>
        <v/>
      </c>
    </row>
    <row r="6">
      <c r="A6" s="3" t="inlineStr">
        <is>
          <t>Pendientes de aplicación</t>
        </is>
      </c>
      <c r="B6" s="4">
        <f>IF($B$4=0,"",COUNTIFS(Cambios!$A$8:$A$127,"&lt;&gt;",Cambios!$L$8:$L$127,"Pendiente"))</f>
        <v/>
      </c>
      <c r="D6" s="3" t="inlineStr">
        <is>
          <t>Cancelado</t>
        </is>
      </c>
      <c r="E6" s="5">
        <f>COUNTIFS(Cambios!$A$8:$A$127,"&lt;&gt;",Cambios!$L$8:$L$127,D6)</f>
        <v/>
      </c>
    </row>
    <row r="7">
      <c r="A7" s="6" t="inlineStr">
        <is>
          <t>Cambios aplicados</t>
        </is>
      </c>
      <c r="B7" s="7">
        <f>IF($B$4=0,"",COUNTIFS(Cambios!$A$8:$A$127,"&lt;&gt;",Cambios!$L$8:$L$127,"Aplicado"))</f>
        <v/>
      </c>
    </row>
    <row r="8">
      <c r="A8" s="3" t="inlineStr">
        <is>
          <t>Registros con aviso para revisión</t>
        </is>
      </c>
      <c r="B8" s="4">
        <f>IF($B$4=0,"",COUNTIFS(Cambios!$A$8:$A$127,"&lt;&gt;",Cambios!$Q$8:$Q$127,"&lt;&gt;"))</f>
        <v/>
      </c>
    </row>
    <row r="9">
      <c r="A9" s="6" t="inlineStr">
        <is>
          <t>Importe previsto acumulado</t>
        </is>
      </c>
      <c r="B9" s="30">
        <f>IF(COUNT(Cambios!$H$8:$H$127)=0,"",SUM(Cambios!$H$8:$H$127))</f>
        <v/>
      </c>
    </row>
    <row r="10">
      <c r="A10" s="3" t="inlineStr">
        <is>
          <t>Importe final registrado</t>
        </is>
      </c>
      <c r="B10" s="31">
        <f>IF(COUNT(Cambios!$N$8:$N$127)=0,"",SUM(Cambios!$N$8:$N$127))</f>
        <v/>
      </c>
    </row>
    <row r="11">
      <c r="A11" s="6" t="inlineStr">
        <is>
          <t>Variación acumulada registrada</t>
        </is>
      </c>
      <c r="B11" s="30">
        <f>IF(COUNT(Cambios!$O$8:$O$127)=0,"",SUM(Cambios!$O$8:$O$127))</f>
        <v/>
      </c>
    </row>
    <row r="12">
      <c r="A12" s="3" t="inlineStr">
        <is>
          <t>Porcentaje de cambios aplicados</t>
        </is>
      </c>
      <c r="B12" s="32">
        <f>IFERROR($B$7/$B$4,"")</f>
        <v/>
      </c>
    </row>
    <row r="13">
      <c r="A13" s="6" t="inlineStr">
        <is>
          <t>Salidas próximas pendientes de aplicación</t>
        </is>
      </c>
      <c r="B13" s="7">
        <f>IF($B$4=0,"",COUNTIFS(Cambios!$A$8:$A$127,"&lt;&gt;",Cambios!$C$8:$C$127,"&gt;="&amp;TODAY(),Cambios!$C$8:$C$127,"&lt;="&amp;TODAY()+'Parámetros'!$B$5,Cambios!$L$8:$L$127,"Pendiente"))</f>
        <v/>
      </c>
    </row>
  </sheetData>
  <mergeCells count="1">
    <mergeCell ref="A1:H1"/>
  </mergeCells>
  <conditionalFormatting sqref="B5:B8">
    <cfRule type="expression" priority="1" dxfId="0" stopIfTrue="1">
      <formula>AND(ISNUMBER(B5),B5&gt;0)</formula>
    </cfRule>
  </conditionalFormatting>
  <conditionalFormatting sqref="B9:B11">
    <cfRule type="expression" priority="2" dxfId="1" stopIfTrue="1">
      <formula>AND(ISNUMBER(B9),B9&lt;0)</formula>
    </cfRule>
    <cfRule type="expression" priority="3" dxfId="2" stopIfTrue="1">
      <formula>AND(ISNUMBER(B9),B9&gt;0)</formula>
    </cfRule>
  </conditionalFormatting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127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15" customWidth="1" min="3" max="3"/>
    <col width="24" customWidth="1" min="4" max="4"/>
    <col width="16" customWidth="1" min="5" max="5"/>
    <col width="39" customWidth="1" min="6" max="6"/>
    <col width="13" customWidth="1" min="7" max="7"/>
    <col width="16" customWidth="1" min="8" max="8"/>
    <col width="25" customWidth="1" min="9" max="9"/>
    <col width="23" customWidth="1" min="10" max="10"/>
    <col width="15" customWidth="1" min="11" max="11"/>
    <col width="14" customWidth="1" min="12" max="12"/>
    <col width="16" customWidth="1" min="13" max="13"/>
    <col width="16" customWidth="1" min="14" max="14"/>
    <col width="15" customWidth="1" min="15" max="15"/>
    <col width="15" customWidth="1" min="16" max="16"/>
    <col width="27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 ht="28" customHeight="1">
      <c r="A1" s="1" t="inlineStr">
        <is>
          <t>Registro de cambios de reserva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  <c r="Q1" s="29" t="n"/>
    </row>
    <row r="2"/>
    <row r="3">
      <c r="A3" s="12" t="inlineStr">
        <is>
          <t>Filas preparadas</t>
        </is>
      </c>
      <c r="B3" s="13" t="n">
        <v>120</v>
      </c>
      <c r="D3" s="12" t="inlineStr">
        <is>
          <t>Umbral de revisión</t>
        </is>
      </c>
      <c r="E3" s="33">
        <f>'Parámetros'!B4</f>
        <v/>
      </c>
      <c r="G3" s="12" t="inlineStr">
        <is>
          <t>Aviso de salida</t>
        </is>
      </c>
      <c r="H3" s="34">
        <f>'Parámetros'!B5</f>
        <v/>
      </c>
      <c r="J3" s="12" t="inlineStr">
        <is>
          <t>Límites y listas</t>
        </is>
      </c>
      <c r="K3" s="13" t="inlineStr">
        <is>
          <t>Hoja Parámetros</t>
        </is>
      </c>
    </row>
    <row r="4">
      <c r="A4" s="16" t="inlineStr">
        <is>
          <t>Las celdas crema son editables. Los avisos solicitan una revisión manual del registro.</t>
        </is>
      </c>
    </row>
    <row r="5"/>
    <row r="6"/>
    <row r="7" ht="38" customHeight="1">
      <c r="A7" s="2" t="inlineStr">
        <is>
          <t>Expediente</t>
        </is>
      </c>
      <c r="B7" s="2" t="inlineStr">
        <is>
          <t>Fecha de solicitud</t>
        </is>
      </c>
      <c r="C7" s="2" t="inlineStr">
        <is>
          <t>Fecha de salida</t>
        </is>
      </c>
      <c r="D7" s="2" t="inlineStr">
        <is>
          <t>Viajero</t>
        </is>
      </c>
      <c r="E7" s="2" t="inlineStr">
        <is>
          <t>Servicio</t>
        </is>
      </c>
      <c r="F7" s="2" t="inlineStr">
        <is>
          <t>Detalle del cambio solicitado</t>
        </is>
      </c>
      <c r="G7" s="2" t="inlineStr">
        <is>
          <t>Cantidad afectada</t>
        </is>
      </c>
      <c r="H7" s="2" t="inlineStr">
        <is>
          <t>Importe previsto (€)</t>
        </is>
      </c>
      <c r="I7" s="2" t="inlineStr">
        <is>
          <t>Proveedor</t>
        </is>
      </c>
      <c r="J7" s="2" t="inlineStr">
        <is>
          <t>Responsable</t>
        </is>
      </c>
      <c r="K7" s="2" t="inlineStr">
        <is>
          <t>Aprobación</t>
        </is>
      </c>
      <c r="L7" s="2" t="inlineStr">
        <is>
          <t>Aplicación</t>
        </is>
      </c>
      <c r="M7" s="2" t="inlineStr">
        <is>
          <t>Fecha de aplicación</t>
        </is>
      </c>
      <c r="N7" s="2" t="inlineStr">
        <is>
          <t>Importe final (€)</t>
        </is>
      </c>
      <c r="O7" s="2" t="inlineStr">
        <is>
          <t>Variación (€)</t>
        </is>
      </c>
      <c r="P7" s="2" t="inlineStr">
        <is>
          <t>Días hasta salida</t>
        </is>
      </c>
      <c r="Q7" s="2" t="inlineStr">
        <is>
          <t>Aviso para revisión</t>
        </is>
      </c>
    </row>
    <row r="8" ht="32" customHeight="1">
      <c r="A8" s="17" t="inlineStr">
        <is>
          <t>EXP-FICT-2026-001</t>
        </is>
      </c>
      <c r="B8" s="35" t="n">
        <v>46256</v>
      </c>
      <c r="C8" s="35" t="n">
        <v>46321</v>
      </c>
      <c r="D8" s="19" t="inlineStr">
        <is>
          <t>Viajero ficticio Ámbar</t>
        </is>
      </c>
      <c r="E8" s="17" t="inlineStr">
        <is>
          <t>Alojamiento</t>
        </is>
      </c>
      <c r="F8" s="19" t="inlineStr">
        <is>
          <t>Añadir una noche al alojamiento</t>
        </is>
      </c>
      <c r="G8" s="20" t="n">
        <v>1</v>
      </c>
      <c r="H8" s="36" t="n">
        <v>120</v>
      </c>
      <c r="I8" s="19" t="inlineStr">
        <is>
          <t>Proveedor ficticio Brújula</t>
        </is>
      </c>
      <c r="J8" s="19" t="inlineStr">
        <is>
          <t>Responsable ficticia Iris</t>
        </is>
      </c>
      <c r="K8" s="17" t="inlineStr">
        <is>
          <t>Aprobado</t>
        </is>
      </c>
      <c r="L8" s="17" t="inlineStr">
        <is>
          <t>Aplicado</t>
        </is>
      </c>
      <c r="M8" s="35" t="n">
        <v>46259</v>
      </c>
      <c r="N8" s="36" t="n">
        <v>135</v>
      </c>
      <c r="O8" s="37">
        <f>IF($A8="","",IF(AND(ISNUMBER($H8),ISNUMBER($N8)),$N8-$H8,""))</f>
        <v/>
      </c>
      <c r="P8" s="38">
        <f>IF(OR($A8="",NOT(ISNUMBER($C8))),"",$C8-TODAY())</f>
        <v/>
      </c>
      <c r="Q8" s="24">
        <f>IF($A8="","",IF(OR(NOT(ISNUMBER($B8)),NOT(ISNUMBER($C8))),"Completar fechas",IF(OR($D8="",$E8="",$F8="",$I8="",$J8="",$K8="",$L8="",NOT(ISNUMBER($G8)),NOT(ISNUMBER($H8))),"Completar datos",IF($C8&lt;$B8,"Revisar fechas",IF(AND($L8="Aplicado",NOT(ISNUMBER($M8))),"Falta fecha de aplicación",IF(AND($L8="Aplicado",NOT(ISNUMBER($N8))),"Falta importe final",IF(AND($L8&lt;&gt;"Aplicado",ISNUMBER($M8)),"Revisar fecha de aplicación",IF(AND($K8="Rechazado",$L8&lt;&gt;"Cancelado"),"Revisar estados",IF(AND($H8&gt;=$Y$8,$K8="Pendiente"),"Revisar aprobación",IF(AND($P8&lt;=$Z$8,$P8&gt;=0,$L8="Pendiente"),"Salida próxima: comprobar",IF(AND($P8&lt;0,$L8="Pendiente"),"Salida pasada: comprobar","")))))))))))</f>
        <v/>
      </c>
      <c r="R8">
        <f>IFERROR(INDEX('Parámetros'!$E$4:$E$8,1),"")</f>
        <v/>
      </c>
      <c r="S8">
        <f>IFERROR(INDEX('Parámetros'!$F$4:$F$7,1),"")</f>
        <v/>
      </c>
      <c r="T8">
        <f>IFERROR(INDEX('Parámetros'!$G$4:$G$6,1),"")</f>
        <v/>
      </c>
      <c r="U8">
        <f>'Parámetros'!B6</f>
        <v/>
      </c>
      <c r="V8">
        <f>'Parámetros'!B7</f>
        <v/>
      </c>
      <c r="W8">
        <f>'Parámetros'!B8</f>
        <v/>
      </c>
      <c r="X8">
        <f>'Parámetros'!B9</f>
        <v/>
      </c>
      <c r="Y8">
        <f>'Parámetros'!B4</f>
        <v/>
      </c>
      <c r="Z8">
        <f>'Parámetros'!B5</f>
        <v/>
      </c>
    </row>
    <row r="9" ht="32" customHeight="1">
      <c r="A9" s="17" t="inlineStr">
        <is>
          <t>EXP-FICT-2026-002</t>
        </is>
      </c>
      <c r="B9" s="35" t="n">
        <v>46266</v>
      </c>
      <c r="C9" s="35" t="n">
        <v>46286</v>
      </c>
      <c r="D9" s="19" t="inlineStr">
        <is>
          <t>Viajero ficticio Cobalto</t>
        </is>
      </c>
      <c r="E9" s="17" t="inlineStr">
        <is>
          <t>Transporte</t>
        </is>
      </c>
      <c r="F9" s="19" t="inlineStr">
        <is>
          <t>Cambiar dos plazas a otro horario</t>
        </is>
      </c>
      <c r="G9" s="20" t="n">
        <v>2</v>
      </c>
      <c r="H9" s="36" t="n">
        <v>280</v>
      </c>
      <c r="I9" s="19" t="inlineStr">
        <is>
          <t>Proveedor ficticio Andén</t>
        </is>
      </c>
      <c r="J9" s="19" t="inlineStr">
        <is>
          <t>Responsable ficticio Nilo</t>
        </is>
      </c>
      <c r="K9" s="17" t="inlineStr">
        <is>
          <t>Aprobado</t>
        </is>
      </c>
      <c r="L9" s="17" t="inlineStr">
        <is>
          <t>Pendiente</t>
        </is>
      </c>
      <c r="M9" s="35" t="n"/>
      <c r="N9" s="36" t="n"/>
      <c r="O9" s="33">
        <f>IF($A9="","",IF(AND(ISNUMBER($H9),ISNUMBER($N9)),$N9-$H9,""))</f>
        <v/>
      </c>
      <c r="P9" s="34">
        <f>IF(OR($A9="",NOT(ISNUMBER($C9))),"",$C9-TODAY())</f>
        <v/>
      </c>
      <c r="Q9" s="25">
        <f>IF($A9="","",IF(OR(NOT(ISNUMBER($B9)),NOT(ISNUMBER($C9))),"Completar fechas",IF(OR($D9="",$E9="",$F9="",$I9="",$J9="",$K9="",$L9="",NOT(ISNUMBER($G9)),NOT(ISNUMBER($H9))),"Completar datos",IF($C9&lt;$B9,"Revisar fechas",IF(AND($L9="Aplicado",NOT(ISNUMBER($M9))),"Falta fecha de aplicación",IF(AND($L9="Aplicado",NOT(ISNUMBER($N9))),"Falta importe final",IF(AND($L9&lt;&gt;"Aplicado",ISNUMBER($M9)),"Revisar fecha de aplicación",IF(AND($K9="Rechazado",$L9&lt;&gt;"Cancelado"),"Revisar estados",IF(AND($H9&gt;=$Y$8,$K9="Pendiente"),"Revisar aprobación",IF(AND($P9&lt;=$Z$8,$P9&gt;=0,$L9="Pendiente"),"Salida próxima: comprobar",IF(AND($P9&lt;0,$L9="Pendiente"),"Salida pasada: comprobar","")))))))))))</f>
        <v/>
      </c>
      <c r="R9">
        <f>IFERROR(INDEX('Parámetros'!$E$4:$E$8,2),"")</f>
        <v/>
      </c>
      <c r="S9">
        <f>IFERROR(INDEX('Parámetros'!$F$4:$F$7,2),"")</f>
        <v/>
      </c>
      <c r="T9">
        <f>IFERROR(INDEX('Parámetros'!$G$4:$G$6,2),"")</f>
        <v/>
      </c>
    </row>
    <row r="10" ht="32" customHeight="1">
      <c r="A10" s="17" t="inlineStr">
        <is>
          <t>EXP-FICT-2026-003</t>
        </is>
      </c>
      <c r="B10" s="35" t="n">
        <v>46271</v>
      </c>
      <c r="C10" s="35" t="n">
        <v>46279</v>
      </c>
      <c r="D10" s="19" t="inlineStr">
        <is>
          <t>Viajera ficticia Dalia</t>
        </is>
      </c>
      <c r="E10" s="17" t="inlineStr">
        <is>
          <t>Alojamiento</t>
        </is>
      </c>
      <c r="F10" s="19" t="inlineStr">
        <is>
          <t>Sustituir una habitación por categoría superior</t>
        </is>
      </c>
      <c r="G10" s="20" t="n">
        <v>1</v>
      </c>
      <c r="H10" s="36" t="n">
        <v>340</v>
      </c>
      <c r="I10" s="19" t="inlineStr">
        <is>
          <t>Proveedor ficticio Mirador</t>
        </is>
      </c>
      <c r="J10" s="19" t="inlineStr">
        <is>
          <t>Responsable ficticia Vega</t>
        </is>
      </c>
      <c r="K10" s="17" t="inlineStr">
        <is>
          <t>Pendiente</t>
        </is>
      </c>
      <c r="L10" s="17" t="inlineStr">
        <is>
          <t>Pendiente</t>
        </is>
      </c>
      <c r="M10" s="35" t="n"/>
      <c r="N10" s="36" t="n"/>
      <c r="O10" s="37">
        <f>IF($A10="","",IF(AND(ISNUMBER($H10),ISNUMBER($N10)),$N10-$H10,""))</f>
        <v/>
      </c>
      <c r="P10" s="38">
        <f>IF(OR($A10="",NOT(ISNUMBER($C10))),"",$C10-TODAY())</f>
        <v/>
      </c>
      <c r="Q10" s="24">
        <f>IF($A10="","",IF(OR(NOT(ISNUMBER($B10)),NOT(ISNUMBER($C10))),"Completar fechas",IF(OR($D10="",$E10="",$F10="",$I10="",$J10="",$K10="",$L10="",NOT(ISNUMBER($G10)),NOT(ISNUMBER($H10))),"Completar datos",IF($C10&lt;$B10,"Revisar fechas",IF(AND($L10="Aplicado",NOT(ISNUMBER($M10))),"Falta fecha de aplicación",IF(AND($L10="Aplicado",NOT(ISNUMBER($N10))),"Falta importe final",IF(AND($L10&lt;&gt;"Aplicado",ISNUMBER($M10)),"Revisar fecha de aplicación",IF(AND($K10="Rechazado",$L10&lt;&gt;"Cancelado"),"Revisar estados",IF(AND($H10&gt;=$Y$8,$K10="Pendiente"),"Revisar aprobación",IF(AND($P10&lt;=$Z$8,$P10&gt;=0,$L10="Pendiente"),"Salida próxima: comprobar",IF(AND($P10&lt;0,$L10="Pendiente"),"Salida pasada: comprobar","")))))))))))</f>
        <v/>
      </c>
      <c r="R10">
        <f>IFERROR(INDEX('Parámetros'!$E$4:$E$8,3),"")</f>
        <v/>
      </c>
      <c r="S10">
        <f>IFERROR(INDEX('Parámetros'!$F$4:$F$7,3),"")</f>
        <v/>
      </c>
      <c r="T10">
        <f>IFERROR(INDEX('Parámetros'!$G$4:$G$6,3),"")</f>
        <v/>
      </c>
    </row>
    <row r="11" ht="32" customHeight="1">
      <c r="A11" s="17" t="inlineStr">
        <is>
          <t>EXP-FICT-2026-004</t>
        </is>
      </c>
      <c r="B11" s="35" t="n">
        <v>46256</v>
      </c>
      <c r="C11" s="35" t="n">
        <v>46336</v>
      </c>
      <c r="D11" s="19" t="inlineStr">
        <is>
          <t>Viajero ficticio Estaño</t>
        </is>
      </c>
      <c r="E11" s="17" t="inlineStr">
        <is>
          <t>Traslado</t>
        </is>
      </c>
      <c r="F11" s="19" t="inlineStr">
        <is>
          <t>Anular un trayecto de traslado</t>
        </is>
      </c>
      <c r="G11" s="20" t="n">
        <v>1</v>
      </c>
      <c r="H11" s="36" t="n">
        <v>0</v>
      </c>
      <c r="I11" s="19" t="inlineStr">
        <is>
          <t>Proveedor ficticio Sendero</t>
        </is>
      </c>
      <c r="J11" s="19" t="inlineStr">
        <is>
          <t>Responsable ficticio Lino</t>
        </is>
      </c>
      <c r="K11" s="17" t="inlineStr">
        <is>
          <t>No requerida</t>
        </is>
      </c>
      <c r="L11" s="17" t="inlineStr">
        <is>
          <t>Aplicado</t>
        </is>
      </c>
      <c r="M11" s="35" t="n">
        <v>46259</v>
      </c>
      <c r="N11" s="36" t="n">
        <v>0</v>
      </c>
      <c r="O11" s="33">
        <f>IF($A11="","",IF(AND(ISNUMBER($H11),ISNUMBER($N11)),$N11-$H11,""))</f>
        <v/>
      </c>
      <c r="P11" s="34">
        <f>IF(OR($A11="",NOT(ISNUMBER($C11))),"",$C11-TODAY())</f>
        <v/>
      </c>
      <c r="Q11" s="25">
        <f>IF($A11="","",IF(OR(NOT(ISNUMBER($B11)),NOT(ISNUMBER($C11))),"Completar fechas",IF(OR($D11="",$E11="",$F11="",$I11="",$J11="",$K11="",$L11="",NOT(ISNUMBER($G11)),NOT(ISNUMBER($H11))),"Completar datos",IF($C11&lt;$B11,"Revisar fechas",IF(AND($L11="Aplicado",NOT(ISNUMBER($M11))),"Falta fecha de aplicación",IF(AND($L11="Aplicado",NOT(ISNUMBER($N11))),"Falta importe final",IF(AND($L11&lt;&gt;"Aplicado",ISNUMBER($M11)),"Revisar fecha de aplicación",IF(AND($K11="Rechazado",$L11&lt;&gt;"Cancelado"),"Revisar estados",IF(AND($H11&gt;=$Y$8,$K11="Pendiente"),"Revisar aprobación",IF(AND($P11&lt;=$Z$8,$P11&gt;=0,$L11="Pendiente"),"Salida próxima: comprobar",IF(AND($P11&lt;0,$L11="Pendiente"),"Salida pasada: comprobar","")))))))))))</f>
        <v/>
      </c>
      <c r="R11">
        <f>IFERROR(INDEX('Parámetros'!$E$4:$E$8,4),"")</f>
        <v/>
      </c>
      <c r="S11">
        <f>IFERROR(INDEX('Parámetros'!$F$4:$F$7,4),"")</f>
        <v/>
      </c>
      <c r="T11">
        <f>IFERROR(INDEX('Parámetros'!$G$4:$G$6,4),"")</f>
        <v/>
      </c>
    </row>
    <row r="12" ht="32" customHeight="1">
      <c r="A12" s="17" t="inlineStr">
        <is>
          <t>EXP-FICT-2026-005</t>
        </is>
      </c>
      <c r="B12" s="35" t="n">
        <v>46251</v>
      </c>
      <c r="C12" s="35" t="n">
        <v>46366</v>
      </c>
      <c r="D12" s="19" t="inlineStr">
        <is>
          <t>Viajera ficticia Fucsia</t>
        </is>
      </c>
      <c r="E12" s="17" t="inlineStr">
        <is>
          <t>Actividad</t>
        </is>
      </c>
      <c r="F12" s="19" t="inlineStr">
        <is>
          <t>Cambiar el horario para cuatro personas</t>
        </is>
      </c>
      <c r="G12" s="20" t="n">
        <v>4</v>
      </c>
      <c r="H12" s="36" t="n">
        <v>40</v>
      </c>
      <c r="I12" s="19" t="inlineStr">
        <is>
          <t>Proveedor ficticio Linterna</t>
        </is>
      </c>
      <c r="J12" s="19" t="inlineStr">
        <is>
          <t>Responsable ficticia Sira</t>
        </is>
      </c>
      <c r="K12" s="17" t="inlineStr">
        <is>
          <t>Rechazado</t>
        </is>
      </c>
      <c r="L12" s="17" t="inlineStr">
        <is>
          <t>Cancelado</t>
        </is>
      </c>
      <c r="M12" s="35" t="n"/>
      <c r="N12" s="36" t="n"/>
      <c r="O12" s="37">
        <f>IF($A12="","",IF(AND(ISNUMBER($H12),ISNUMBER($N12)),$N12-$H12,""))</f>
        <v/>
      </c>
      <c r="P12" s="38">
        <f>IF(OR($A12="",NOT(ISNUMBER($C12))),"",$C12-TODAY())</f>
        <v/>
      </c>
      <c r="Q12" s="24">
        <f>IF($A12="","",IF(OR(NOT(ISNUMBER($B12)),NOT(ISNUMBER($C12))),"Completar fechas",IF(OR($D12="",$E12="",$F12="",$I12="",$J12="",$K12="",$L12="",NOT(ISNUMBER($G12)),NOT(ISNUMBER($H12))),"Completar datos",IF($C12&lt;$B12,"Revisar fechas",IF(AND($L12="Aplicado",NOT(ISNUMBER($M12))),"Falta fecha de aplicación",IF(AND($L12="Aplicado",NOT(ISNUMBER($N12))),"Falta importe final",IF(AND($L12&lt;&gt;"Aplicado",ISNUMBER($M12)),"Revisar fecha de aplicación",IF(AND($K12="Rechazado",$L12&lt;&gt;"Cancelado"),"Revisar estados",IF(AND($H12&gt;=$Y$8,$K12="Pendiente"),"Revisar aprobación",IF(AND($P12&lt;=$Z$8,$P12&gt;=0,$L12="Pendiente"),"Salida próxima: comprobar",IF(AND($P12&lt;0,$L12="Pendiente"),"Salida pasada: comprobar","")))))))))))</f>
        <v/>
      </c>
      <c r="R12">
        <f>IFERROR(INDEX('Parámetros'!$E$4:$E$8,5),"")</f>
        <v/>
      </c>
      <c r="S12">
        <f>IFERROR(INDEX('Parámetros'!$F$4:$F$7,5),"")</f>
        <v/>
      </c>
      <c r="T12">
        <f>IFERROR(INDEX('Parámetros'!$G$4:$G$6,5),"")</f>
        <v/>
      </c>
    </row>
    <row r="13" ht="32" customHeight="1">
      <c r="A13" s="17" t="inlineStr">
        <is>
          <t>EXP-FICT-2026-006</t>
        </is>
      </c>
      <c r="B13" s="35" t="n">
        <v>46273</v>
      </c>
      <c r="C13" s="35" t="n">
        <v>46278</v>
      </c>
      <c r="D13" s="19" t="inlineStr">
        <is>
          <t>Viajero ficticio Granate</t>
        </is>
      </c>
      <c r="E13" s="17" t="inlineStr">
        <is>
          <t>Seguro</t>
        </is>
      </c>
      <c r="F13" s="19" t="inlineStr">
        <is>
          <t>Corregir datos de una persona en el servicio</t>
        </is>
      </c>
      <c r="G13" s="20" t="n">
        <v>1</v>
      </c>
      <c r="H13" s="36" t="n">
        <v>15</v>
      </c>
      <c r="I13" s="19" t="inlineStr">
        <is>
          <t>Proveedor ficticio Nube</t>
        </is>
      </c>
      <c r="J13" s="19" t="inlineStr">
        <is>
          <t>Responsable ficticio Elio</t>
        </is>
      </c>
      <c r="K13" s="17" t="inlineStr">
        <is>
          <t>Aprobado</t>
        </is>
      </c>
      <c r="L13" s="17" t="inlineStr">
        <is>
          <t>Pendiente</t>
        </is>
      </c>
      <c r="M13" s="35" t="n"/>
      <c r="N13" s="36" t="n"/>
      <c r="O13" s="33">
        <f>IF($A13="","",IF(AND(ISNUMBER($H13),ISNUMBER($N13)),$N13-$H13,""))</f>
        <v/>
      </c>
      <c r="P13" s="34">
        <f>IF(OR($A13="",NOT(ISNUMBER($C13))),"",$C13-TODAY())</f>
        <v/>
      </c>
      <c r="Q13" s="25">
        <f>IF($A13="","",IF(OR(NOT(ISNUMBER($B13)),NOT(ISNUMBER($C13))),"Completar fechas",IF(OR($D13="",$E13="",$F13="",$I13="",$J13="",$K13="",$L13="",NOT(ISNUMBER($G13)),NOT(ISNUMBER($H13))),"Completar datos",IF($C13&lt;$B13,"Revisar fechas",IF(AND($L13="Aplicado",NOT(ISNUMBER($M13))),"Falta fecha de aplicación",IF(AND($L13="Aplicado",NOT(ISNUMBER($N13))),"Falta importe final",IF(AND($L13&lt;&gt;"Aplicado",ISNUMBER($M13)),"Revisar fecha de aplicación",IF(AND($K13="Rechazado",$L13&lt;&gt;"Cancelado"),"Revisar estados",IF(AND($H13&gt;=$Y$8,$K13="Pendiente"),"Revisar aprobación",IF(AND($P13&lt;=$Z$8,$P13&gt;=0,$L13="Pendiente"),"Salida próxima: comprobar",IF(AND($P13&lt;0,$L13="Pendiente"),"Salida pasada: comprobar","")))))))))))</f>
        <v/>
      </c>
      <c r="R13">
        <f>IFERROR(INDEX('Parámetros'!$E$4:$E$8,6),"")</f>
        <v/>
      </c>
      <c r="S13">
        <f>IFERROR(INDEX('Parámetros'!$F$4:$F$7,6),"")</f>
        <v/>
      </c>
      <c r="T13">
        <f>IFERROR(INDEX('Parámetros'!$G$4:$G$6,6),"")</f>
        <v/>
      </c>
    </row>
    <row r="14" ht="32" customHeight="1">
      <c r="A14" s="17" t="inlineStr">
        <is>
          <t>EXP-FICT-2026-007</t>
        </is>
      </c>
      <c r="B14" s="35" t="n">
        <v>46236</v>
      </c>
      <c r="C14" s="35" t="n">
        <v>46271</v>
      </c>
      <c r="D14" s="19" t="inlineStr">
        <is>
          <t>Viajera ficticia Hiedra</t>
        </is>
      </c>
      <c r="E14" s="17" t="inlineStr">
        <is>
          <t>Alojamiento</t>
        </is>
      </c>
      <c r="F14" s="19" t="inlineStr">
        <is>
          <t>Reducir una noche del alojamiento</t>
        </is>
      </c>
      <c r="G14" s="20" t="n">
        <v>1</v>
      </c>
      <c r="H14" s="36" t="n">
        <v>75</v>
      </c>
      <c r="I14" s="19" t="inlineStr">
        <is>
          <t>Proveedor ficticio Faro</t>
        </is>
      </c>
      <c r="J14" s="19" t="inlineStr">
        <is>
          <t>Responsable ficticia Menta</t>
        </is>
      </c>
      <c r="K14" s="17" t="inlineStr">
        <is>
          <t>Aprobado</t>
        </is>
      </c>
      <c r="L14" s="17" t="inlineStr">
        <is>
          <t>Pendiente</t>
        </is>
      </c>
      <c r="M14" s="35" t="n"/>
      <c r="N14" s="36" t="n"/>
      <c r="O14" s="37">
        <f>IF($A14="","",IF(AND(ISNUMBER($H14),ISNUMBER($N14)),$N14-$H14,""))</f>
        <v/>
      </c>
      <c r="P14" s="38">
        <f>IF(OR($A14="",NOT(ISNUMBER($C14))),"",$C14-TODAY())</f>
        <v/>
      </c>
      <c r="Q14" s="24">
        <f>IF($A14="","",IF(OR(NOT(ISNUMBER($B14)),NOT(ISNUMBER($C14))),"Completar fechas",IF(OR($D14="",$E14="",$F14="",$I14="",$J14="",$K14="",$L14="",NOT(ISNUMBER($G14)),NOT(ISNUMBER($H14))),"Completar datos",IF($C14&lt;$B14,"Revisar fechas",IF(AND($L14="Aplicado",NOT(ISNUMBER($M14))),"Falta fecha de aplicación",IF(AND($L14="Aplicado",NOT(ISNUMBER($N14))),"Falta importe final",IF(AND($L14&lt;&gt;"Aplicado",ISNUMBER($M14)),"Revisar fecha de aplicación",IF(AND($K14="Rechazado",$L14&lt;&gt;"Cancelado"),"Revisar estados",IF(AND($H14&gt;=$Y$8,$K14="Pendiente"),"Revisar aprobación",IF(AND($P14&lt;=$Z$8,$P14&gt;=0,$L14="Pendiente"),"Salida próxima: comprobar",IF(AND($P14&lt;0,$L14="Pendiente"),"Salida pasada: comprobar","")))))))))))</f>
        <v/>
      </c>
      <c r="R14">
        <f>IFERROR(INDEX('Parámetros'!$E$4:$E$8,7),"")</f>
        <v/>
      </c>
      <c r="S14">
        <f>IFERROR(INDEX('Parámetros'!$F$4:$F$7,7),"")</f>
        <v/>
      </c>
      <c r="T14">
        <f>IFERROR(INDEX('Parámetros'!$G$4:$G$6,7),"")</f>
        <v/>
      </c>
    </row>
    <row r="15" ht="32" customHeight="1">
      <c r="A15" s="17" t="inlineStr">
        <is>
          <t>EXP-FICT-2026-008</t>
        </is>
      </c>
      <c r="B15" s="35" t="n">
        <v>46276</v>
      </c>
      <c r="C15" s="35" t="n">
        <v>46476</v>
      </c>
      <c r="D15" s="19" t="inlineStr">
        <is>
          <t>Viajero ficticio Índigo</t>
        </is>
      </c>
      <c r="E15" s="17" t="inlineStr">
        <is>
          <t>Transporte</t>
        </is>
      </c>
      <c r="F15" s="19" t="inlineStr">
        <is>
          <t>Cambiar dos plazas de clase</t>
        </is>
      </c>
      <c r="G15" s="20" t="n">
        <v>2</v>
      </c>
      <c r="H15" s="36" t="n">
        <v>850</v>
      </c>
      <c r="I15" s="19" t="inlineStr">
        <is>
          <t>Proveedor ficticio Cometa</t>
        </is>
      </c>
      <c r="J15" s="19" t="inlineStr">
        <is>
          <t>Responsable ficticio Tilo</t>
        </is>
      </c>
      <c r="K15" s="17" t="inlineStr">
        <is>
          <t>Pendiente</t>
        </is>
      </c>
      <c r="L15" s="17" t="inlineStr">
        <is>
          <t>Pendiente</t>
        </is>
      </c>
      <c r="M15" s="35" t="n"/>
      <c r="N15" s="36" t="n"/>
      <c r="O15" s="33">
        <f>IF($A15="","",IF(AND(ISNUMBER($H15),ISNUMBER($N15)),$N15-$H15,""))</f>
        <v/>
      </c>
      <c r="P15" s="34">
        <f>IF(OR($A15="",NOT(ISNUMBER($C15))),"",$C15-TODAY())</f>
        <v/>
      </c>
      <c r="Q15" s="25">
        <f>IF($A15="","",IF(OR(NOT(ISNUMBER($B15)),NOT(ISNUMBER($C15))),"Completar fechas",IF(OR($D15="",$E15="",$F15="",$I15="",$J15="",$K15="",$L15="",NOT(ISNUMBER($G15)),NOT(ISNUMBER($H15))),"Completar datos",IF($C15&lt;$B15,"Revisar fechas",IF(AND($L15="Aplicado",NOT(ISNUMBER($M15))),"Falta fecha de aplicación",IF(AND($L15="Aplicado",NOT(ISNUMBER($N15))),"Falta importe final",IF(AND($L15&lt;&gt;"Aplicado",ISNUMBER($M15)),"Revisar fecha de aplicación",IF(AND($K15="Rechazado",$L15&lt;&gt;"Cancelado"),"Revisar estados",IF(AND($H15&gt;=$Y$8,$K15="Pendiente"),"Revisar aprobación",IF(AND($P15&lt;=$Z$8,$P15&gt;=0,$L15="Pendiente"),"Salida próxima: comprobar",IF(AND($P15&lt;0,$L15="Pendiente"),"Salida pasada: comprobar","")))))))))))</f>
        <v/>
      </c>
      <c r="R15">
        <f>IFERROR(INDEX('Parámetros'!$E$4:$E$8,8),"")</f>
        <v/>
      </c>
      <c r="S15">
        <f>IFERROR(INDEX('Parámetros'!$F$4:$F$7,8),"")</f>
        <v/>
      </c>
      <c r="T15">
        <f>IFERROR(INDEX('Parámetros'!$G$4:$G$6,8),"")</f>
        <v/>
      </c>
    </row>
    <row r="16" ht="32" customHeight="1">
      <c r="A16" s="17" t="inlineStr">
        <is>
          <t>EXP-FICT-2026-009</t>
        </is>
      </c>
      <c r="B16" s="35" t="n">
        <v>46261</v>
      </c>
      <c r="C16" s="35" t="n">
        <v>46306</v>
      </c>
      <c r="D16" s="19" t="inlineStr">
        <is>
          <t>Viajera ficticia Jade</t>
        </is>
      </c>
      <c r="E16" s="17" t="inlineStr">
        <is>
          <t>Traslado</t>
        </is>
      </c>
      <c r="F16" s="19" t="inlineStr">
        <is>
          <t>Añadir una persona al traslado</t>
        </is>
      </c>
      <c r="G16" s="20" t="n">
        <v>1</v>
      </c>
      <c r="H16" s="36" t="n">
        <v>95</v>
      </c>
      <c r="I16" s="19" t="inlineStr">
        <is>
          <t>Proveedor ficticio Trébol</t>
        </is>
      </c>
      <c r="J16" s="19" t="inlineStr">
        <is>
          <t>Responsable ficticia Aura</t>
        </is>
      </c>
      <c r="K16" s="17" t="inlineStr">
        <is>
          <t>Aprobado</t>
        </is>
      </c>
      <c r="L16" s="17" t="inlineStr">
        <is>
          <t>Aplicado</t>
        </is>
      </c>
      <c r="M16" s="35" t="n">
        <v>46264</v>
      </c>
      <c r="N16" s="36" t="n">
        <v>100</v>
      </c>
      <c r="O16" s="37">
        <f>IF($A16="","",IF(AND(ISNUMBER($H16),ISNUMBER($N16)),$N16-$H16,""))</f>
        <v/>
      </c>
      <c r="P16" s="38">
        <f>IF(OR($A16="",NOT(ISNUMBER($C16))),"",$C16-TODAY())</f>
        <v/>
      </c>
      <c r="Q16" s="24">
        <f>IF($A16="","",IF(OR(NOT(ISNUMBER($B16)),NOT(ISNUMBER($C16))),"Completar fechas",IF(OR($D16="",$E16="",$F16="",$I16="",$J16="",$K16="",$L16="",NOT(ISNUMBER($G16)),NOT(ISNUMBER($H16))),"Completar datos",IF($C16&lt;$B16,"Revisar fechas",IF(AND($L16="Aplicado",NOT(ISNUMBER($M16))),"Falta fecha de aplicación",IF(AND($L16="Aplicado",NOT(ISNUMBER($N16))),"Falta importe final",IF(AND($L16&lt;&gt;"Aplicado",ISNUMBER($M16)),"Revisar fecha de aplicación",IF(AND($K16="Rechazado",$L16&lt;&gt;"Cancelado"),"Revisar estados",IF(AND($H16&gt;=$Y$8,$K16="Pendiente"),"Revisar aprobación",IF(AND($P16&lt;=$Z$8,$P16&gt;=0,$L16="Pendiente"),"Salida próxima: comprobar",IF(AND($P16&lt;0,$L16="Pendiente"),"Salida pasada: comprobar","")))))))))))</f>
        <v/>
      </c>
      <c r="R16">
        <f>IFERROR(INDEX('Parámetros'!$E$4:$E$8,9),"")</f>
        <v/>
      </c>
      <c r="S16">
        <f>IFERROR(INDEX('Parámetros'!$F$4:$F$7,9),"")</f>
        <v/>
      </c>
      <c r="T16">
        <f>IFERROR(INDEX('Parámetros'!$G$4:$G$6,9),"")</f>
        <v/>
      </c>
    </row>
    <row r="17" ht="32" customHeight="1">
      <c r="A17" s="17" t="inlineStr">
        <is>
          <t>EXP-FICT-2026-010</t>
        </is>
      </c>
      <c r="B17" s="35" t="n">
        <v>46275</v>
      </c>
      <c r="C17" s="35" t="n">
        <v>46284</v>
      </c>
      <c r="D17" s="19" t="inlineStr">
        <is>
          <t>Viajero ficticio Kermés</t>
        </is>
      </c>
      <c r="E17" s="17" t="inlineStr">
        <is>
          <t>Actividad</t>
        </is>
      </c>
      <c r="F17" s="19" t="inlineStr">
        <is>
          <t>Reducir una plaza en la actividad</t>
        </is>
      </c>
      <c r="G17" s="20" t="n">
        <v>1</v>
      </c>
      <c r="H17" s="36" t="n">
        <v>50</v>
      </c>
      <c r="I17" s="19" t="inlineStr">
        <is>
          <t>Proveedor ficticio Prisma</t>
        </is>
      </c>
      <c r="J17" s="19" t="inlineStr">
        <is>
          <t>Responsable ficticio Olmo</t>
        </is>
      </c>
      <c r="K17" s="17" t="inlineStr">
        <is>
          <t>Aprobado</t>
        </is>
      </c>
      <c r="L17" s="17" t="inlineStr">
        <is>
          <t>Aplicado</t>
        </is>
      </c>
      <c r="M17" s="35" t="n">
        <v>46276</v>
      </c>
      <c r="N17" s="36" t="n">
        <v>45</v>
      </c>
      <c r="O17" s="33">
        <f>IF($A17="","",IF(AND(ISNUMBER($H17),ISNUMBER($N17)),$N17-$H17,""))</f>
        <v/>
      </c>
      <c r="P17" s="34">
        <f>IF(OR($A17="",NOT(ISNUMBER($C17))),"",$C17-TODAY())</f>
        <v/>
      </c>
      <c r="Q17" s="25">
        <f>IF($A17="","",IF(OR(NOT(ISNUMBER($B17)),NOT(ISNUMBER($C17))),"Completar fechas",IF(OR($D17="",$E17="",$F17="",$I17="",$J17="",$K17="",$L17="",NOT(ISNUMBER($G17)),NOT(ISNUMBER($H17))),"Completar datos",IF($C17&lt;$B17,"Revisar fechas",IF(AND($L17="Aplicado",NOT(ISNUMBER($M17))),"Falta fecha de aplicación",IF(AND($L17="Aplicado",NOT(ISNUMBER($N17))),"Falta importe final",IF(AND($L17&lt;&gt;"Aplicado",ISNUMBER($M17)),"Revisar fecha de aplicación",IF(AND($K17="Rechazado",$L17&lt;&gt;"Cancelado"),"Revisar estados",IF(AND($H17&gt;=$Y$8,$K17="Pendiente"),"Revisar aprobación",IF(AND($P17&lt;=$Z$8,$P17&gt;=0,$L17="Pendiente"),"Salida próxima: comprobar",IF(AND($P17&lt;0,$L17="Pendiente"),"Salida pasada: comprobar","")))))))))))</f>
        <v/>
      </c>
      <c r="R17">
        <f>IFERROR(INDEX('Parámetros'!$E$4:$E$8,10),"")</f>
        <v/>
      </c>
      <c r="S17">
        <f>IFERROR(INDEX('Parámetros'!$F$4:$F$7,10),"")</f>
        <v/>
      </c>
      <c r="T17">
        <f>IFERROR(INDEX('Parámetros'!$G$4:$G$6,10),"")</f>
        <v/>
      </c>
    </row>
    <row r="18" ht="32" customHeight="1">
      <c r="A18" s="17" t="n"/>
      <c r="B18" s="35" t="n"/>
      <c r="C18" s="35" t="n"/>
      <c r="D18" s="19" t="n"/>
      <c r="E18" s="17" t="n"/>
      <c r="F18" s="19" t="n"/>
      <c r="G18" s="20" t="n"/>
      <c r="H18" s="36" t="n"/>
      <c r="I18" s="19" t="n"/>
      <c r="J18" s="19" t="n"/>
      <c r="K18" s="17" t="n"/>
      <c r="L18" s="17" t="n"/>
      <c r="M18" s="35" t="n"/>
      <c r="N18" s="36" t="n"/>
      <c r="O18" s="37">
        <f>IF($A18="","",IF(AND(ISNUMBER($H18),ISNUMBER($N18)),$N18-$H18,""))</f>
        <v/>
      </c>
      <c r="P18" s="38">
        <f>IF(OR($A18="",NOT(ISNUMBER($C18))),"",$C18-TODAY())</f>
        <v/>
      </c>
      <c r="Q18" s="24">
        <f>IF($A18="","",IF(OR(NOT(ISNUMBER($B18)),NOT(ISNUMBER($C18))),"Completar fechas",IF(OR($D18="",$E18="",$F18="",$I18="",$J18="",$K18="",$L18="",NOT(ISNUMBER($G18)),NOT(ISNUMBER($H18))),"Completar datos",IF($C18&lt;$B18,"Revisar fechas",IF(AND($L18="Aplicado",NOT(ISNUMBER($M18))),"Falta fecha de aplicación",IF(AND($L18="Aplicado",NOT(ISNUMBER($N18))),"Falta importe final",IF(AND($L18&lt;&gt;"Aplicado",ISNUMBER($M18)),"Revisar fecha de aplicación",IF(AND($K18="Rechazado",$L18&lt;&gt;"Cancelado"),"Revisar estados",IF(AND($H18&gt;=$Y$8,$K18="Pendiente"),"Revisar aprobación",IF(AND($P18&lt;=$Z$8,$P18&gt;=0,$L18="Pendiente"),"Salida próxima: comprobar",IF(AND($P18&lt;0,$L18="Pendiente"),"Salida pasada: comprobar","")))))))))))</f>
        <v/>
      </c>
      <c r="R18">
        <f>IFERROR(INDEX('Parámetros'!$E$4:$E$8,11),"")</f>
        <v/>
      </c>
      <c r="S18">
        <f>IFERROR(INDEX('Parámetros'!$F$4:$F$7,11),"")</f>
        <v/>
      </c>
      <c r="T18">
        <f>IFERROR(INDEX('Parámetros'!$G$4:$G$6,11),"")</f>
        <v/>
      </c>
    </row>
    <row r="19" ht="32" customHeight="1">
      <c r="A19" s="17" t="n"/>
      <c r="B19" s="35" t="n"/>
      <c r="C19" s="35" t="n"/>
      <c r="D19" s="19" t="n"/>
      <c r="E19" s="17" t="n"/>
      <c r="F19" s="19" t="n"/>
      <c r="G19" s="20" t="n"/>
      <c r="H19" s="36" t="n"/>
      <c r="I19" s="19" t="n"/>
      <c r="J19" s="19" t="n"/>
      <c r="K19" s="17" t="n"/>
      <c r="L19" s="17" t="n"/>
      <c r="M19" s="35" t="n"/>
      <c r="N19" s="36" t="n"/>
      <c r="O19" s="33">
        <f>IF($A19="","",IF(AND(ISNUMBER($H19),ISNUMBER($N19)),$N19-$H19,""))</f>
        <v/>
      </c>
      <c r="P19" s="34">
        <f>IF(OR($A19="",NOT(ISNUMBER($C19))),"",$C19-TODAY())</f>
        <v/>
      </c>
      <c r="Q19" s="25">
        <f>IF($A19="","",IF(OR(NOT(ISNUMBER($B19)),NOT(ISNUMBER($C19))),"Completar fechas",IF(OR($D19="",$E19="",$F19="",$I19="",$J19="",$K19="",$L19="",NOT(ISNUMBER($G19)),NOT(ISNUMBER($H19))),"Completar datos",IF($C19&lt;$B19,"Revisar fechas",IF(AND($L19="Aplicado",NOT(ISNUMBER($M19))),"Falta fecha de aplicación",IF(AND($L19="Aplicado",NOT(ISNUMBER($N19))),"Falta importe final",IF(AND($L19&lt;&gt;"Aplicado",ISNUMBER($M19)),"Revisar fecha de aplicación",IF(AND($K19="Rechazado",$L19&lt;&gt;"Cancelado"),"Revisar estados",IF(AND($H19&gt;=$Y$8,$K19="Pendiente"),"Revisar aprobación",IF(AND($P19&lt;=$Z$8,$P19&gt;=0,$L19="Pendiente"),"Salida próxima: comprobar",IF(AND($P19&lt;0,$L19="Pendiente"),"Salida pasada: comprobar","")))))))))))</f>
        <v/>
      </c>
      <c r="R19">
        <f>IFERROR(INDEX('Parámetros'!$E$4:$E$8,12),"")</f>
        <v/>
      </c>
      <c r="S19">
        <f>IFERROR(INDEX('Parámetros'!$F$4:$F$7,12),"")</f>
        <v/>
      </c>
      <c r="T19">
        <f>IFERROR(INDEX('Parámetros'!$G$4:$G$6,12),"")</f>
        <v/>
      </c>
    </row>
    <row r="20" ht="32" customHeight="1">
      <c r="A20" s="17" t="n"/>
      <c r="B20" s="35" t="n"/>
      <c r="C20" s="35" t="n"/>
      <c r="D20" s="19" t="n"/>
      <c r="E20" s="17" t="n"/>
      <c r="F20" s="19" t="n"/>
      <c r="G20" s="20" t="n"/>
      <c r="H20" s="36" t="n"/>
      <c r="I20" s="19" t="n"/>
      <c r="J20" s="19" t="n"/>
      <c r="K20" s="17" t="n"/>
      <c r="L20" s="17" t="n"/>
      <c r="M20" s="35" t="n"/>
      <c r="N20" s="36" t="n"/>
      <c r="O20" s="37">
        <f>IF($A20="","",IF(AND(ISNUMBER($H20),ISNUMBER($N20)),$N20-$H20,""))</f>
        <v/>
      </c>
      <c r="P20" s="38">
        <f>IF(OR($A20="",NOT(ISNUMBER($C20))),"",$C20-TODAY())</f>
        <v/>
      </c>
      <c r="Q20" s="24">
        <f>IF($A20="","",IF(OR(NOT(ISNUMBER($B20)),NOT(ISNUMBER($C20))),"Completar fechas",IF(OR($D20="",$E20="",$F20="",$I20="",$J20="",$K20="",$L20="",NOT(ISNUMBER($G20)),NOT(ISNUMBER($H20))),"Completar datos",IF($C20&lt;$B20,"Revisar fechas",IF(AND($L20="Aplicado",NOT(ISNUMBER($M20))),"Falta fecha de aplicación",IF(AND($L20="Aplicado",NOT(ISNUMBER($N20))),"Falta importe final",IF(AND($L20&lt;&gt;"Aplicado",ISNUMBER($M20)),"Revisar fecha de aplicación",IF(AND($K20="Rechazado",$L20&lt;&gt;"Cancelado"),"Revisar estados",IF(AND($H20&gt;=$Y$8,$K20="Pendiente"),"Revisar aprobación",IF(AND($P20&lt;=$Z$8,$P20&gt;=0,$L20="Pendiente"),"Salida próxima: comprobar",IF(AND($P20&lt;0,$L20="Pendiente"),"Salida pasada: comprobar","")))))))))))</f>
        <v/>
      </c>
      <c r="R20">
        <f>IFERROR(INDEX('Parámetros'!$E$4:$E$8,13),"")</f>
        <v/>
      </c>
      <c r="S20">
        <f>IFERROR(INDEX('Parámetros'!$F$4:$F$7,13),"")</f>
        <v/>
      </c>
      <c r="T20">
        <f>IFERROR(INDEX('Parámetros'!$G$4:$G$6,13),"")</f>
        <v/>
      </c>
    </row>
    <row r="21" ht="32" customHeight="1">
      <c r="A21" s="17" t="n"/>
      <c r="B21" s="35" t="n"/>
      <c r="C21" s="35" t="n"/>
      <c r="D21" s="19" t="n"/>
      <c r="E21" s="17" t="n"/>
      <c r="F21" s="19" t="n"/>
      <c r="G21" s="20" t="n"/>
      <c r="H21" s="36" t="n"/>
      <c r="I21" s="19" t="n"/>
      <c r="J21" s="19" t="n"/>
      <c r="K21" s="17" t="n"/>
      <c r="L21" s="17" t="n"/>
      <c r="M21" s="35" t="n"/>
      <c r="N21" s="36" t="n"/>
      <c r="O21" s="33">
        <f>IF($A21="","",IF(AND(ISNUMBER($H21),ISNUMBER($N21)),$N21-$H21,""))</f>
        <v/>
      </c>
      <c r="P21" s="34">
        <f>IF(OR($A21="",NOT(ISNUMBER($C21))),"",$C21-TODAY())</f>
        <v/>
      </c>
      <c r="Q21" s="25">
        <f>IF($A21="","",IF(OR(NOT(ISNUMBER($B21)),NOT(ISNUMBER($C21))),"Completar fechas",IF(OR($D21="",$E21="",$F21="",$I21="",$J21="",$K21="",$L21="",NOT(ISNUMBER($G21)),NOT(ISNUMBER($H21))),"Completar datos",IF($C21&lt;$B21,"Revisar fechas",IF(AND($L21="Aplicado",NOT(ISNUMBER($M21))),"Falta fecha de aplicación",IF(AND($L21="Aplicado",NOT(ISNUMBER($N21))),"Falta importe final",IF(AND($L21&lt;&gt;"Aplicado",ISNUMBER($M21)),"Revisar fecha de aplicación",IF(AND($K21="Rechazado",$L21&lt;&gt;"Cancelado"),"Revisar estados",IF(AND($H21&gt;=$Y$8,$K21="Pendiente"),"Revisar aprobación",IF(AND($P21&lt;=$Z$8,$P21&gt;=0,$L21="Pendiente"),"Salida próxima: comprobar",IF(AND($P21&lt;0,$L21="Pendiente"),"Salida pasada: comprobar","")))))))))))</f>
        <v/>
      </c>
      <c r="R21">
        <f>IFERROR(INDEX('Parámetros'!$E$4:$E$8,14),"")</f>
        <v/>
      </c>
      <c r="S21">
        <f>IFERROR(INDEX('Parámetros'!$F$4:$F$7,14),"")</f>
        <v/>
      </c>
      <c r="T21">
        <f>IFERROR(INDEX('Parámetros'!$G$4:$G$6,14),"")</f>
        <v/>
      </c>
    </row>
    <row r="22" ht="32" customHeight="1">
      <c r="A22" s="17" t="n"/>
      <c r="B22" s="35" t="n"/>
      <c r="C22" s="35" t="n"/>
      <c r="D22" s="19" t="n"/>
      <c r="E22" s="17" t="n"/>
      <c r="F22" s="19" t="n"/>
      <c r="G22" s="20" t="n"/>
      <c r="H22" s="36" t="n"/>
      <c r="I22" s="19" t="n"/>
      <c r="J22" s="19" t="n"/>
      <c r="K22" s="17" t="n"/>
      <c r="L22" s="17" t="n"/>
      <c r="M22" s="35" t="n"/>
      <c r="N22" s="36" t="n"/>
      <c r="O22" s="37">
        <f>IF($A22="","",IF(AND(ISNUMBER($H22),ISNUMBER($N22)),$N22-$H22,""))</f>
        <v/>
      </c>
      <c r="P22" s="38">
        <f>IF(OR($A22="",NOT(ISNUMBER($C22))),"",$C22-TODAY())</f>
        <v/>
      </c>
      <c r="Q22" s="24">
        <f>IF($A22="","",IF(OR(NOT(ISNUMBER($B22)),NOT(ISNUMBER($C22))),"Completar fechas",IF(OR($D22="",$E22="",$F22="",$I22="",$J22="",$K22="",$L22="",NOT(ISNUMBER($G22)),NOT(ISNUMBER($H22))),"Completar datos",IF($C22&lt;$B22,"Revisar fechas",IF(AND($L22="Aplicado",NOT(ISNUMBER($M22))),"Falta fecha de aplicación",IF(AND($L22="Aplicado",NOT(ISNUMBER($N22))),"Falta importe final",IF(AND($L22&lt;&gt;"Aplicado",ISNUMBER($M22)),"Revisar fecha de aplicación",IF(AND($K22="Rechazado",$L22&lt;&gt;"Cancelado"),"Revisar estados",IF(AND($H22&gt;=$Y$8,$K22="Pendiente"),"Revisar aprobación",IF(AND($P22&lt;=$Z$8,$P22&gt;=0,$L22="Pendiente"),"Salida próxima: comprobar",IF(AND($P22&lt;0,$L22="Pendiente"),"Salida pasada: comprobar","")))))))))))</f>
        <v/>
      </c>
      <c r="R22">
        <f>IFERROR(INDEX('Parámetros'!$E$4:$E$8,15),"")</f>
        <v/>
      </c>
      <c r="S22">
        <f>IFERROR(INDEX('Parámetros'!$F$4:$F$7,15),"")</f>
        <v/>
      </c>
      <c r="T22">
        <f>IFERROR(INDEX('Parámetros'!$G$4:$G$6,15),"")</f>
        <v/>
      </c>
    </row>
    <row r="23" ht="32" customHeight="1">
      <c r="A23" s="17" t="n"/>
      <c r="B23" s="35" t="n"/>
      <c r="C23" s="35" t="n"/>
      <c r="D23" s="19" t="n"/>
      <c r="E23" s="17" t="n"/>
      <c r="F23" s="19" t="n"/>
      <c r="G23" s="20" t="n"/>
      <c r="H23" s="36" t="n"/>
      <c r="I23" s="19" t="n"/>
      <c r="J23" s="19" t="n"/>
      <c r="K23" s="17" t="n"/>
      <c r="L23" s="17" t="n"/>
      <c r="M23" s="35" t="n"/>
      <c r="N23" s="36" t="n"/>
      <c r="O23" s="33">
        <f>IF($A23="","",IF(AND(ISNUMBER($H23),ISNUMBER($N23)),$N23-$H23,""))</f>
        <v/>
      </c>
      <c r="P23" s="34">
        <f>IF(OR($A23="",NOT(ISNUMBER($C23))),"",$C23-TODAY())</f>
        <v/>
      </c>
      <c r="Q23" s="25">
        <f>IF($A23="","",IF(OR(NOT(ISNUMBER($B23)),NOT(ISNUMBER($C23))),"Completar fechas",IF(OR($D23="",$E23="",$F23="",$I23="",$J23="",$K23="",$L23="",NOT(ISNUMBER($G23)),NOT(ISNUMBER($H23))),"Completar datos",IF($C23&lt;$B23,"Revisar fechas",IF(AND($L23="Aplicado",NOT(ISNUMBER($M23))),"Falta fecha de aplicación",IF(AND($L23="Aplicado",NOT(ISNUMBER($N23))),"Falta importe final",IF(AND($L23&lt;&gt;"Aplicado",ISNUMBER($M23)),"Revisar fecha de aplicación",IF(AND($K23="Rechazado",$L23&lt;&gt;"Cancelado"),"Revisar estados",IF(AND($H23&gt;=$Y$8,$K23="Pendiente"),"Revisar aprobación",IF(AND($P23&lt;=$Z$8,$P23&gt;=0,$L23="Pendiente"),"Salida próxima: comprobar",IF(AND($P23&lt;0,$L23="Pendiente"),"Salida pasada: comprobar","")))))))))))</f>
        <v/>
      </c>
      <c r="R23">
        <f>IFERROR(INDEX('Parámetros'!$E$4:$E$8,16),"")</f>
        <v/>
      </c>
      <c r="S23">
        <f>IFERROR(INDEX('Parámetros'!$F$4:$F$7,16),"")</f>
        <v/>
      </c>
      <c r="T23">
        <f>IFERROR(INDEX('Parámetros'!$G$4:$G$6,16),"")</f>
        <v/>
      </c>
    </row>
    <row r="24" ht="32" customHeight="1">
      <c r="A24" s="17" t="n"/>
      <c r="B24" s="35" t="n"/>
      <c r="C24" s="35" t="n"/>
      <c r="D24" s="19" t="n"/>
      <c r="E24" s="17" t="n"/>
      <c r="F24" s="19" t="n"/>
      <c r="G24" s="20" t="n"/>
      <c r="H24" s="36" t="n"/>
      <c r="I24" s="19" t="n"/>
      <c r="J24" s="19" t="n"/>
      <c r="K24" s="17" t="n"/>
      <c r="L24" s="17" t="n"/>
      <c r="M24" s="35" t="n"/>
      <c r="N24" s="36" t="n"/>
      <c r="O24" s="37">
        <f>IF($A24="","",IF(AND(ISNUMBER($H24),ISNUMBER($N24)),$N24-$H24,""))</f>
        <v/>
      </c>
      <c r="P24" s="38">
        <f>IF(OR($A24="",NOT(ISNUMBER($C24))),"",$C24-TODAY())</f>
        <v/>
      </c>
      <c r="Q24" s="24">
        <f>IF($A24="","",IF(OR(NOT(ISNUMBER($B24)),NOT(ISNUMBER($C24))),"Completar fechas",IF(OR($D24="",$E24="",$F24="",$I24="",$J24="",$K24="",$L24="",NOT(ISNUMBER($G24)),NOT(ISNUMBER($H24))),"Completar datos",IF($C24&lt;$B24,"Revisar fechas",IF(AND($L24="Aplicado",NOT(ISNUMBER($M24))),"Falta fecha de aplicación",IF(AND($L24="Aplicado",NOT(ISNUMBER($N24))),"Falta importe final",IF(AND($L24&lt;&gt;"Aplicado",ISNUMBER($M24)),"Revisar fecha de aplicación",IF(AND($K24="Rechazado",$L24&lt;&gt;"Cancelado"),"Revisar estados",IF(AND($H24&gt;=$Y$8,$K24="Pendiente"),"Revisar aprobación",IF(AND($P24&lt;=$Z$8,$P24&gt;=0,$L24="Pendiente"),"Salida próxima: comprobar",IF(AND($P24&lt;0,$L24="Pendiente"),"Salida pasada: comprobar","")))))))))))</f>
        <v/>
      </c>
      <c r="R24">
        <f>IFERROR(INDEX('Parámetros'!$E$4:$E$8,17),"")</f>
        <v/>
      </c>
      <c r="S24">
        <f>IFERROR(INDEX('Parámetros'!$F$4:$F$7,17),"")</f>
        <v/>
      </c>
      <c r="T24">
        <f>IFERROR(INDEX('Parámetros'!$G$4:$G$6,17),"")</f>
        <v/>
      </c>
    </row>
    <row r="25" ht="32" customHeight="1">
      <c r="A25" s="17" t="n"/>
      <c r="B25" s="35" t="n"/>
      <c r="C25" s="35" t="n"/>
      <c r="D25" s="19" t="n"/>
      <c r="E25" s="17" t="n"/>
      <c r="F25" s="19" t="n"/>
      <c r="G25" s="20" t="n"/>
      <c r="H25" s="36" t="n"/>
      <c r="I25" s="19" t="n"/>
      <c r="J25" s="19" t="n"/>
      <c r="K25" s="17" t="n"/>
      <c r="L25" s="17" t="n"/>
      <c r="M25" s="35" t="n"/>
      <c r="N25" s="36" t="n"/>
      <c r="O25" s="33">
        <f>IF($A25="","",IF(AND(ISNUMBER($H25),ISNUMBER($N25)),$N25-$H25,""))</f>
        <v/>
      </c>
      <c r="P25" s="34">
        <f>IF(OR($A25="",NOT(ISNUMBER($C25))),"",$C25-TODAY())</f>
        <v/>
      </c>
      <c r="Q25" s="25">
        <f>IF($A25="","",IF(OR(NOT(ISNUMBER($B25)),NOT(ISNUMBER($C25))),"Completar fechas",IF(OR($D25="",$E25="",$F25="",$I25="",$J25="",$K25="",$L25="",NOT(ISNUMBER($G25)),NOT(ISNUMBER($H25))),"Completar datos",IF($C25&lt;$B25,"Revisar fechas",IF(AND($L25="Aplicado",NOT(ISNUMBER($M25))),"Falta fecha de aplicación",IF(AND($L25="Aplicado",NOT(ISNUMBER($N25))),"Falta importe final",IF(AND($L25&lt;&gt;"Aplicado",ISNUMBER($M25)),"Revisar fecha de aplicación",IF(AND($K25="Rechazado",$L25&lt;&gt;"Cancelado"),"Revisar estados",IF(AND($H25&gt;=$Y$8,$K25="Pendiente"),"Revisar aprobación",IF(AND($P25&lt;=$Z$8,$P25&gt;=0,$L25="Pendiente"),"Salida próxima: comprobar",IF(AND($P25&lt;0,$L25="Pendiente"),"Salida pasada: comprobar","")))))))))))</f>
        <v/>
      </c>
      <c r="R25">
        <f>IFERROR(INDEX('Parámetros'!$E$4:$E$8,18),"")</f>
        <v/>
      </c>
      <c r="S25">
        <f>IFERROR(INDEX('Parámetros'!$F$4:$F$7,18),"")</f>
        <v/>
      </c>
      <c r="T25">
        <f>IFERROR(INDEX('Parámetros'!$G$4:$G$6,18),"")</f>
        <v/>
      </c>
    </row>
    <row r="26" ht="32" customHeight="1">
      <c r="A26" s="17" t="n"/>
      <c r="B26" s="35" t="n"/>
      <c r="C26" s="35" t="n"/>
      <c r="D26" s="19" t="n"/>
      <c r="E26" s="17" t="n"/>
      <c r="F26" s="19" t="n"/>
      <c r="G26" s="20" t="n"/>
      <c r="H26" s="36" t="n"/>
      <c r="I26" s="19" t="n"/>
      <c r="J26" s="19" t="n"/>
      <c r="K26" s="17" t="n"/>
      <c r="L26" s="17" t="n"/>
      <c r="M26" s="35" t="n"/>
      <c r="N26" s="36" t="n"/>
      <c r="O26" s="37">
        <f>IF($A26="","",IF(AND(ISNUMBER($H26),ISNUMBER($N26)),$N26-$H26,""))</f>
        <v/>
      </c>
      <c r="P26" s="38">
        <f>IF(OR($A26="",NOT(ISNUMBER($C26))),"",$C26-TODAY())</f>
        <v/>
      </c>
      <c r="Q26" s="24">
        <f>IF($A26="","",IF(OR(NOT(ISNUMBER($B26)),NOT(ISNUMBER($C26))),"Completar fechas",IF(OR($D26="",$E26="",$F26="",$I26="",$J26="",$K26="",$L26="",NOT(ISNUMBER($G26)),NOT(ISNUMBER($H26))),"Completar datos",IF($C26&lt;$B26,"Revisar fechas",IF(AND($L26="Aplicado",NOT(ISNUMBER($M26))),"Falta fecha de aplicación",IF(AND($L26="Aplicado",NOT(ISNUMBER($N26))),"Falta importe final",IF(AND($L26&lt;&gt;"Aplicado",ISNUMBER($M26)),"Revisar fecha de aplicación",IF(AND($K26="Rechazado",$L26&lt;&gt;"Cancelado"),"Revisar estados",IF(AND($H26&gt;=$Y$8,$K26="Pendiente"),"Revisar aprobación",IF(AND($P26&lt;=$Z$8,$P26&gt;=0,$L26="Pendiente"),"Salida próxima: comprobar",IF(AND($P26&lt;0,$L26="Pendiente"),"Salida pasada: comprobar","")))))))))))</f>
        <v/>
      </c>
      <c r="R26">
        <f>IFERROR(INDEX('Parámetros'!$E$4:$E$8,19),"")</f>
        <v/>
      </c>
      <c r="S26">
        <f>IFERROR(INDEX('Parámetros'!$F$4:$F$7,19),"")</f>
        <v/>
      </c>
      <c r="T26">
        <f>IFERROR(INDEX('Parámetros'!$G$4:$G$6,19),"")</f>
        <v/>
      </c>
    </row>
    <row r="27" ht="32" customHeight="1">
      <c r="A27" s="17" t="n"/>
      <c r="B27" s="35" t="n"/>
      <c r="C27" s="35" t="n"/>
      <c r="D27" s="19" t="n"/>
      <c r="E27" s="17" t="n"/>
      <c r="F27" s="19" t="n"/>
      <c r="G27" s="20" t="n"/>
      <c r="H27" s="36" t="n"/>
      <c r="I27" s="19" t="n"/>
      <c r="J27" s="19" t="n"/>
      <c r="K27" s="17" t="n"/>
      <c r="L27" s="17" t="n"/>
      <c r="M27" s="35" t="n"/>
      <c r="N27" s="36" t="n"/>
      <c r="O27" s="33">
        <f>IF($A27="","",IF(AND(ISNUMBER($H27),ISNUMBER($N27)),$N27-$H27,""))</f>
        <v/>
      </c>
      <c r="P27" s="34">
        <f>IF(OR($A27="",NOT(ISNUMBER($C27))),"",$C27-TODAY())</f>
        <v/>
      </c>
      <c r="Q27" s="25">
        <f>IF($A27="","",IF(OR(NOT(ISNUMBER($B27)),NOT(ISNUMBER($C27))),"Completar fechas",IF(OR($D27="",$E27="",$F27="",$I27="",$J27="",$K27="",$L27="",NOT(ISNUMBER($G27)),NOT(ISNUMBER($H27))),"Completar datos",IF($C27&lt;$B27,"Revisar fechas",IF(AND($L27="Aplicado",NOT(ISNUMBER($M27))),"Falta fecha de aplicación",IF(AND($L27="Aplicado",NOT(ISNUMBER($N27))),"Falta importe final",IF(AND($L27&lt;&gt;"Aplicado",ISNUMBER($M27)),"Revisar fecha de aplicación",IF(AND($K27="Rechazado",$L27&lt;&gt;"Cancelado"),"Revisar estados",IF(AND($H27&gt;=$Y$8,$K27="Pendiente"),"Revisar aprobación",IF(AND($P27&lt;=$Z$8,$P27&gt;=0,$L27="Pendiente"),"Salida próxima: comprobar",IF(AND($P27&lt;0,$L27="Pendiente"),"Salida pasada: comprobar","")))))))))))</f>
        <v/>
      </c>
      <c r="R27">
        <f>IFERROR(INDEX('Parámetros'!$E$4:$E$8,20),"")</f>
        <v/>
      </c>
      <c r="S27">
        <f>IFERROR(INDEX('Parámetros'!$F$4:$F$7,20),"")</f>
        <v/>
      </c>
      <c r="T27">
        <f>IFERROR(INDEX('Parámetros'!$G$4:$G$6,20),"")</f>
        <v/>
      </c>
    </row>
    <row r="28" ht="32" customHeight="1">
      <c r="A28" s="17" t="n"/>
      <c r="B28" s="35" t="n"/>
      <c r="C28" s="35" t="n"/>
      <c r="D28" s="19" t="n"/>
      <c r="E28" s="17" t="n"/>
      <c r="F28" s="19" t="n"/>
      <c r="G28" s="20" t="n"/>
      <c r="H28" s="36" t="n"/>
      <c r="I28" s="19" t="n"/>
      <c r="J28" s="19" t="n"/>
      <c r="K28" s="17" t="n"/>
      <c r="L28" s="17" t="n"/>
      <c r="M28" s="35" t="n"/>
      <c r="N28" s="36" t="n"/>
      <c r="O28" s="37">
        <f>IF($A28="","",IF(AND(ISNUMBER($H28),ISNUMBER($N28)),$N28-$H28,""))</f>
        <v/>
      </c>
      <c r="P28" s="38">
        <f>IF(OR($A28="",NOT(ISNUMBER($C28))),"",$C28-TODAY())</f>
        <v/>
      </c>
      <c r="Q28" s="24">
        <f>IF($A28="","",IF(OR(NOT(ISNUMBER($B28)),NOT(ISNUMBER($C28))),"Completar fechas",IF(OR($D28="",$E28="",$F28="",$I28="",$J28="",$K28="",$L28="",NOT(ISNUMBER($G28)),NOT(ISNUMBER($H28))),"Completar datos",IF($C28&lt;$B28,"Revisar fechas",IF(AND($L28="Aplicado",NOT(ISNUMBER($M28))),"Falta fecha de aplicación",IF(AND($L28="Aplicado",NOT(ISNUMBER($N28))),"Falta importe final",IF(AND($L28&lt;&gt;"Aplicado",ISNUMBER($M28)),"Revisar fecha de aplicación",IF(AND($K28="Rechazado",$L28&lt;&gt;"Cancelado"),"Revisar estados",IF(AND($H28&gt;=$Y$8,$K28="Pendiente"),"Revisar aprobación",IF(AND($P28&lt;=$Z$8,$P28&gt;=0,$L28="Pendiente"),"Salida próxima: comprobar",IF(AND($P28&lt;0,$L28="Pendiente"),"Salida pasada: comprobar","")))))))))))</f>
        <v/>
      </c>
      <c r="R28">
        <f>IFERROR(INDEX('Parámetros'!$E$4:$E$8,21),"")</f>
        <v/>
      </c>
      <c r="S28">
        <f>IFERROR(INDEX('Parámetros'!$F$4:$F$7,21),"")</f>
        <v/>
      </c>
      <c r="T28">
        <f>IFERROR(INDEX('Parámetros'!$G$4:$G$6,21),"")</f>
        <v/>
      </c>
    </row>
    <row r="29" ht="32" customHeight="1">
      <c r="A29" s="17" t="n"/>
      <c r="B29" s="35" t="n"/>
      <c r="C29" s="35" t="n"/>
      <c r="D29" s="19" t="n"/>
      <c r="E29" s="17" t="n"/>
      <c r="F29" s="19" t="n"/>
      <c r="G29" s="20" t="n"/>
      <c r="H29" s="36" t="n"/>
      <c r="I29" s="19" t="n"/>
      <c r="J29" s="19" t="n"/>
      <c r="K29" s="17" t="n"/>
      <c r="L29" s="17" t="n"/>
      <c r="M29" s="35" t="n"/>
      <c r="N29" s="36" t="n"/>
      <c r="O29" s="33">
        <f>IF($A29="","",IF(AND(ISNUMBER($H29),ISNUMBER($N29)),$N29-$H29,""))</f>
        <v/>
      </c>
      <c r="P29" s="34">
        <f>IF(OR($A29="",NOT(ISNUMBER($C29))),"",$C29-TODAY())</f>
        <v/>
      </c>
      <c r="Q29" s="25">
        <f>IF($A29="","",IF(OR(NOT(ISNUMBER($B29)),NOT(ISNUMBER($C29))),"Completar fechas",IF(OR($D29="",$E29="",$F29="",$I29="",$J29="",$K29="",$L29="",NOT(ISNUMBER($G29)),NOT(ISNUMBER($H29))),"Completar datos",IF($C29&lt;$B29,"Revisar fechas",IF(AND($L29="Aplicado",NOT(ISNUMBER($M29))),"Falta fecha de aplicación",IF(AND($L29="Aplicado",NOT(ISNUMBER($N29))),"Falta importe final",IF(AND($L29&lt;&gt;"Aplicado",ISNUMBER($M29)),"Revisar fecha de aplicación",IF(AND($K29="Rechazado",$L29&lt;&gt;"Cancelado"),"Revisar estados",IF(AND($H29&gt;=$Y$8,$K29="Pendiente"),"Revisar aprobación",IF(AND($P29&lt;=$Z$8,$P29&gt;=0,$L29="Pendiente"),"Salida próxima: comprobar",IF(AND($P29&lt;0,$L29="Pendiente"),"Salida pasada: comprobar","")))))))))))</f>
        <v/>
      </c>
      <c r="R29">
        <f>IFERROR(INDEX('Parámetros'!$E$4:$E$8,22),"")</f>
        <v/>
      </c>
      <c r="S29">
        <f>IFERROR(INDEX('Parámetros'!$F$4:$F$7,22),"")</f>
        <v/>
      </c>
      <c r="T29">
        <f>IFERROR(INDEX('Parámetros'!$G$4:$G$6,22),"")</f>
        <v/>
      </c>
    </row>
    <row r="30" ht="32" customHeight="1">
      <c r="A30" s="17" t="n"/>
      <c r="B30" s="35" t="n"/>
      <c r="C30" s="35" t="n"/>
      <c r="D30" s="19" t="n"/>
      <c r="E30" s="17" t="n"/>
      <c r="F30" s="19" t="n"/>
      <c r="G30" s="20" t="n"/>
      <c r="H30" s="36" t="n"/>
      <c r="I30" s="19" t="n"/>
      <c r="J30" s="19" t="n"/>
      <c r="K30" s="17" t="n"/>
      <c r="L30" s="17" t="n"/>
      <c r="M30" s="35" t="n"/>
      <c r="N30" s="36" t="n"/>
      <c r="O30" s="37">
        <f>IF($A30="","",IF(AND(ISNUMBER($H30),ISNUMBER($N30)),$N30-$H30,""))</f>
        <v/>
      </c>
      <c r="P30" s="38">
        <f>IF(OR($A30="",NOT(ISNUMBER($C30))),"",$C30-TODAY())</f>
        <v/>
      </c>
      <c r="Q30" s="24">
        <f>IF($A30="","",IF(OR(NOT(ISNUMBER($B30)),NOT(ISNUMBER($C30))),"Completar fechas",IF(OR($D30="",$E30="",$F30="",$I30="",$J30="",$K30="",$L30="",NOT(ISNUMBER($G30)),NOT(ISNUMBER($H30))),"Completar datos",IF($C30&lt;$B30,"Revisar fechas",IF(AND($L30="Aplicado",NOT(ISNUMBER($M30))),"Falta fecha de aplicación",IF(AND($L30="Aplicado",NOT(ISNUMBER($N30))),"Falta importe final",IF(AND($L30&lt;&gt;"Aplicado",ISNUMBER($M30)),"Revisar fecha de aplicación",IF(AND($K30="Rechazado",$L30&lt;&gt;"Cancelado"),"Revisar estados",IF(AND($H30&gt;=$Y$8,$K30="Pendiente"),"Revisar aprobación",IF(AND($P30&lt;=$Z$8,$P30&gt;=0,$L30="Pendiente"),"Salida próxima: comprobar",IF(AND($P30&lt;0,$L30="Pendiente"),"Salida pasada: comprobar","")))))))))))</f>
        <v/>
      </c>
      <c r="R30">
        <f>IFERROR(INDEX('Parámetros'!$E$4:$E$8,23),"")</f>
        <v/>
      </c>
      <c r="S30">
        <f>IFERROR(INDEX('Parámetros'!$F$4:$F$7,23),"")</f>
        <v/>
      </c>
      <c r="T30">
        <f>IFERROR(INDEX('Parámetros'!$G$4:$G$6,23),"")</f>
        <v/>
      </c>
    </row>
    <row r="31" ht="32" customHeight="1">
      <c r="A31" s="17" t="n"/>
      <c r="B31" s="35" t="n"/>
      <c r="C31" s="35" t="n"/>
      <c r="D31" s="19" t="n"/>
      <c r="E31" s="17" t="n"/>
      <c r="F31" s="19" t="n"/>
      <c r="G31" s="20" t="n"/>
      <c r="H31" s="36" t="n"/>
      <c r="I31" s="19" t="n"/>
      <c r="J31" s="19" t="n"/>
      <c r="K31" s="17" t="n"/>
      <c r="L31" s="17" t="n"/>
      <c r="M31" s="35" t="n"/>
      <c r="N31" s="36" t="n"/>
      <c r="O31" s="33">
        <f>IF($A31="","",IF(AND(ISNUMBER($H31),ISNUMBER($N31)),$N31-$H31,""))</f>
        <v/>
      </c>
      <c r="P31" s="34">
        <f>IF(OR($A31="",NOT(ISNUMBER($C31))),"",$C31-TODAY())</f>
        <v/>
      </c>
      <c r="Q31" s="25">
        <f>IF($A31="","",IF(OR(NOT(ISNUMBER($B31)),NOT(ISNUMBER($C31))),"Completar fechas",IF(OR($D31="",$E31="",$F31="",$I31="",$J31="",$K31="",$L31="",NOT(ISNUMBER($G31)),NOT(ISNUMBER($H31))),"Completar datos",IF($C31&lt;$B31,"Revisar fechas",IF(AND($L31="Aplicado",NOT(ISNUMBER($M31))),"Falta fecha de aplicación",IF(AND($L31="Aplicado",NOT(ISNUMBER($N31))),"Falta importe final",IF(AND($L31&lt;&gt;"Aplicado",ISNUMBER($M31)),"Revisar fecha de aplicación",IF(AND($K31="Rechazado",$L31&lt;&gt;"Cancelado"),"Revisar estados",IF(AND($H31&gt;=$Y$8,$K31="Pendiente"),"Revisar aprobación",IF(AND($P31&lt;=$Z$8,$P31&gt;=0,$L31="Pendiente"),"Salida próxima: comprobar",IF(AND($P31&lt;0,$L31="Pendiente"),"Salida pasada: comprobar","")))))))))))</f>
        <v/>
      </c>
      <c r="R31">
        <f>IFERROR(INDEX('Parámetros'!$E$4:$E$8,24),"")</f>
        <v/>
      </c>
      <c r="S31">
        <f>IFERROR(INDEX('Parámetros'!$F$4:$F$7,24),"")</f>
        <v/>
      </c>
      <c r="T31">
        <f>IFERROR(INDEX('Parámetros'!$G$4:$G$6,24),"")</f>
        <v/>
      </c>
    </row>
    <row r="32" ht="32" customHeight="1">
      <c r="A32" s="17" t="n"/>
      <c r="B32" s="35" t="n"/>
      <c r="C32" s="35" t="n"/>
      <c r="D32" s="19" t="n"/>
      <c r="E32" s="17" t="n"/>
      <c r="F32" s="19" t="n"/>
      <c r="G32" s="20" t="n"/>
      <c r="H32" s="36" t="n"/>
      <c r="I32" s="19" t="n"/>
      <c r="J32" s="19" t="n"/>
      <c r="K32" s="17" t="n"/>
      <c r="L32" s="17" t="n"/>
      <c r="M32" s="35" t="n"/>
      <c r="N32" s="36" t="n"/>
      <c r="O32" s="37">
        <f>IF($A32="","",IF(AND(ISNUMBER($H32),ISNUMBER($N32)),$N32-$H32,""))</f>
        <v/>
      </c>
      <c r="P32" s="38">
        <f>IF(OR($A32="",NOT(ISNUMBER($C32))),"",$C32-TODAY())</f>
        <v/>
      </c>
      <c r="Q32" s="24">
        <f>IF($A32="","",IF(OR(NOT(ISNUMBER($B32)),NOT(ISNUMBER($C32))),"Completar fechas",IF(OR($D32="",$E32="",$F32="",$I32="",$J32="",$K32="",$L32="",NOT(ISNUMBER($G32)),NOT(ISNUMBER($H32))),"Completar datos",IF($C32&lt;$B32,"Revisar fechas",IF(AND($L32="Aplicado",NOT(ISNUMBER($M32))),"Falta fecha de aplicación",IF(AND($L32="Aplicado",NOT(ISNUMBER($N32))),"Falta importe final",IF(AND($L32&lt;&gt;"Aplicado",ISNUMBER($M32)),"Revisar fecha de aplicación",IF(AND($K32="Rechazado",$L32&lt;&gt;"Cancelado"),"Revisar estados",IF(AND($H32&gt;=$Y$8,$K32="Pendiente"),"Revisar aprobación",IF(AND($P32&lt;=$Z$8,$P32&gt;=0,$L32="Pendiente"),"Salida próxima: comprobar",IF(AND($P32&lt;0,$L32="Pendiente"),"Salida pasada: comprobar","")))))))))))</f>
        <v/>
      </c>
      <c r="R32">
        <f>IFERROR(INDEX('Parámetros'!$E$4:$E$8,25),"")</f>
        <v/>
      </c>
      <c r="S32">
        <f>IFERROR(INDEX('Parámetros'!$F$4:$F$7,25),"")</f>
        <v/>
      </c>
      <c r="T32">
        <f>IFERROR(INDEX('Parámetros'!$G$4:$G$6,25),"")</f>
        <v/>
      </c>
    </row>
    <row r="33" ht="32" customHeight="1">
      <c r="A33" s="17" t="n"/>
      <c r="B33" s="35" t="n"/>
      <c r="C33" s="35" t="n"/>
      <c r="D33" s="19" t="n"/>
      <c r="E33" s="17" t="n"/>
      <c r="F33" s="19" t="n"/>
      <c r="G33" s="20" t="n"/>
      <c r="H33" s="36" t="n"/>
      <c r="I33" s="19" t="n"/>
      <c r="J33" s="19" t="n"/>
      <c r="K33" s="17" t="n"/>
      <c r="L33" s="17" t="n"/>
      <c r="M33" s="35" t="n"/>
      <c r="N33" s="36" t="n"/>
      <c r="O33" s="33">
        <f>IF($A33="","",IF(AND(ISNUMBER($H33),ISNUMBER($N33)),$N33-$H33,""))</f>
        <v/>
      </c>
      <c r="P33" s="34">
        <f>IF(OR($A33="",NOT(ISNUMBER($C33))),"",$C33-TODAY())</f>
        <v/>
      </c>
      <c r="Q33" s="25">
        <f>IF($A33="","",IF(OR(NOT(ISNUMBER($B33)),NOT(ISNUMBER($C33))),"Completar fechas",IF(OR($D33="",$E33="",$F33="",$I33="",$J33="",$K33="",$L33="",NOT(ISNUMBER($G33)),NOT(ISNUMBER($H33))),"Completar datos",IF($C33&lt;$B33,"Revisar fechas",IF(AND($L33="Aplicado",NOT(ISNUMBER($M33))),"Falta fecha de aplicación",IF(AND($L33="Aplicado",NOT(ISNUMBER($N33))),"Falta importe final",IF(AND($L33&lt;&gt;"Aplicado",ISNUMBER($M33)),"Revisar fecha de aplicación",IF(AND($K33="Rechazado",$L33&lt;&gt;"Cancelado"),"Revisar estados",IF(AND($H33&gt;=$Y$8,$K33="Pendiente"),"Revisar aprobación",IF(AND($P33&lt;=$Z$8,$P33&gt;=0,$L33="Pendiente"),"Salida próxima: comprobar",IF(AND($P33&lt;0,$L33="Pendiente"),"Salida pasada: comprobar","")))))))))))</f>
        <v/>
      </c>
      <c r="R33">
        <f>IFERROR(INDEX('Parámetros'!$E$4:$E$8,26),"")</f>
        <v/>
      </c>
      <c r="S33">
        <f>IFERROR(INDEX('Parámetros'!$F$4:$F$7,26),"")</f>
        <v/>
      </c>
      <c r="T33">
        <f>IFERROR(INDEX('Parámetros'!$G$4:$G$6,26),"")</f>
        <v/>
      </c>
    </row>
    <row r="34" ht="32" customHeight="1">
      <c r="A34" s="17" t="n"/>
      <c r="B34" s="35" t="n"/>
      <c r="C34" s="35" t="n"/>
      <c r="D34" s="19" t="n"/>
      <c r="E34" s="17" t="n"/>
      <c r="F34" s="19" t="n"/>
      <c r="G34" s="20" t="n"/>
      <c r="H34" s="36" t="n"/>
      <c r="I34" s="19" t="n"/>
      <c r="J34" s="19" t="n"/>
      <c r="K34" s="17" t="n"/>
      <c r="L34" s="17" t="n"/>
      <c r="M34" s="35" t="n"/>
      <c r="N34" s="36" t="n"/>
      <c r="O34" s="37">
        <f>IF($A34="","",IF(AND(ISNUMBER($H34),ISNUMBER($N34)),$N34-$H34,""))</f>
        <v/>
      </c>
      <c r="P34" s="38">
        <f>IF(OR($A34="",NOT(ISNUMBER($C34))),"",$C34-TODAY())</f>
        <v/>
      </c>
      <c r="Q34" s="24">
        <f>IF($A34="","",IF(OR(NOT(ISNUMBER($B34)),NOT(ISNUMBER($C34))),"Completar fechas",IF(OR($D34="",$E34="",$F34="",$I34="",$J34="",$K34="",$L34="",NOT(ISNUMBER($G34)),NOT(ISNUMBER($H34))),"Completar datos",IF($C34&lt;$B34,"Revisar fechas",IF(AND($L34="Aplicado",NOT(ISNUMBER($M34))),"Falta fecha de aplicación",IF(AND($L34="Aplicado",NOT(ISNUMBER($N34))),"Falta importe final",IF(AND($L34&lt;&gt;"Aplicado",ISNUMBER($M34)),"Revisar fecha de aplicación",IF(AND($K34="Rechazado",$L34&lt;&gt;"Cancelado"),"Revisar estados",IF(AND($H34&gt;=$Y$8,$K34="Pendiente"),"Revisar aprobación",IF(AND($P34&lt;=$Z$8,$P34&gt;=0,$L34="Pendiente"),"Salida próxima: comprobar",IF(AND($P34&lt;0,$L34="Pendiente"),"Salida pasada: comprobar","")))))))))))</f>
        <v/>
      </c>
      <c r="R34">
        <f>IFERROR(INDEX('Parámetros'!$E$4:$E$8,27),"")</f>
        <v/>
      </c>
      <c r="S34">
        <f>IFERROR(INDEX('Parámetros'!$F$4:$F$7,27),"")</f>
        <v/>
      </c>
      <c r="T34">
        <f>IFERROR(INDEX('Parámetros'!$G$4:$G$6,27),"")</f>
        <v/>
      </c>
    </row>
    <row r="35" ht="32" customHeight="1">
      <c r="A35" s="17" t="n"/>
      <c r="B35" s="35" t="n"/>
      <c r="C35" s="35" t="n"/>
      <c r="D35" s="19" t="n"/>
      <c r="E35" s="17" t="n"/>
      <c r="F35" s="19" t="n"/>
      <c r="G35" s="20" t="n"/>
      <c r="H35" s="36" t="n"/>
      <c r="I35" s="19" t="n"/>
      <c r="J35" s="19" t="n"/>
      <c r="K35" s="17" t="n"/>
      <c r="L35" s="17" t="n"/>
      <c r="M35" s="35" t="n"/>
      <c r="N35" s="36" t="n"/>
      <c r="O35" s="33">
        <f>IF($A35="","",IF(AND(ISNUMBER($H35),ISNUMBER($N35)),$N35-$H35,""))</f>
        <v/>
      </c>
      <c r="P35" s="34">
        <f>IF(OR($A35="",NOT(ISNUMBER($C35))),"",$C35-TODAY())</f>
        <v/>
      </c>
      <c r="Q35" s="25">
        <f>IF($A35="","",IF(OR(NOT(ISNUMBER($B35)),NOT(ISNUMBER($C35))),"Completar fechas",IF(OR($D35="",$E35="",$F35="",$I35="",$J35="",$K35="",$L35="",NOT(ISNUMBER($G35)),NOT(ISNUMBER($H35))),"Completar datos",IF($C35&lt;$B35,"Revisar fechas",IF(AND($L35="Aplicado",NOT(ISNUMBER($M35))),"Falta fecha de aplicación",IF(AND($L35="Aplicado",NOT(ISNUMBER($N35))),"Falta importe final",IF(AND($L35&lt;&gt;"Aplicado",ISNUMBER($M35)),"Revisar fecha de aplicación",IF(AND($K35="Rechazado",$L35&lt;&gt;"Cancelado"),"Revisar estados",IF(AND($H35&gt;=$Y$8,$K35="Pendiente"),"Revisar aprobación",IF(AND($P35&lt;=$Z$8,$P35&gt;=0,$L35="Pendiente"),"Salida próxima: comprobar",IF(AND($P35&lt;0,$L35="Pendiente"),"Salida pasada: comprobar","")))))))))))</f>
        <v/>
      </c>
      <c r="R35">
        <f>IFERROR(INDEX('Parámetros'!$E$4:$E$8,28),"")</f>
        <v/>
      </c>
      <c r="S35">
        <f>IFERROR(INDEX('Parámetros'!$F$4:$F$7,28),"")</f>
        <v/>
      </c>
      <c r="T35">
        <f>IFERROR(INDEX('Parámetros'!$G$4:$G$6,28),"")</f>
        <v/>
      </c>
    </row>
    <row r="36" ht="32" customHeight="1">
      <c r="A36" s="17" t="n"/>
      <c r="B36" s="35" t="n"/>
      <c r="C36" s="35" t="n"/>
      <c r="D36" s="19" t="n"/>
      <c r="E36" s="17" t="n"/>
      <c r="F36" s="19" t="n"/>
      <c r="G36" s="20" t="n"/>
      <c r="H36" s="36" t="n"/>
      <c r="I36" s="19" t="n"/>
      <c r="J36" s="19" t="n"/>
      <c r="K36" s="17" t="n"/>
      <c r="L36" s="17" t="n"/>
      <c r="M36" s="35" t="n"/>
      <c r="N36" s="36" t="n"/>
      <c r="O36" s="37">
        <f>IF($A36="","",IF(AND(ISNUMBER($H36),ISNUMBER($N36)),$N36-$H36,""))</f>
        <v/>
      </c>
      <c r="P36" s="38">
        <f>IF(OR($A36="",NOT(ISNUMBER($C36))),"",$C36-TODAY())</f>
        <v/>
      </c>
      <c r="Q36" s="24">
        <f>IF($A36="","",IF(OR(NOT(ISNUMBER($B36)),NOT(ISNUMBER($C36))),"Completar fechas",IF(OR($D36="",$E36="",$F36="",$I36="",$J36="",$K36="",$L36="",NOT(ISNUMBER($G36)),NOT(ISNUMBER($H36))),"Completar datos",IF($C36&lt;$B36,"Revisar fechas",IF(AND($L36="Aplicado",NOT(ISNUMBER($M36))),"Falta fecha de aplicación",IF(AND($L36="Aplicado",NOT(ISNUMBER($N36))),"Falta importe final",IF(AND($L36&lt;&gt;"Aplicado",ISNUMBER($M36)),"Revisar fecha de aplicación",IF(AND($K36="Rechazado",$L36&lt;&gt;"Cancelado"),"Revisar estados",IF(AND($H36&gt;=$Y$8,$K36="Pendiente"),"Revisar aprobación",IF(AND($P36&lt;=$Z$8,$P36&gt;=0,$L36="Pendiente"),"Salida próxima: comprobar",IF(AND($P36&lt;0,$L36="Pendiente"),"Salida pasada: comprobar","")))))))))))</f>
        <v/>
      </c>
      <c r="R36">
        <f>IFERROR(INDEX('Parámetros'!$E$4:$E$8,29),"")</f>
        <v/>
      </c>
      <c r="S36">
        <f>IFERROR(INDEX('Parámetros'!$F$4:$F$7,29),"")</f>
        <v/>
      </c>
      <c r="T36">
        <f>IFERROR(INDEX('Parámetros'!$G$4:$G$6,29),"")</f>
        <v/>
      </c>
    </row>
    <row r="37" ht="32" customHeight="1">
      <c r="A37" s="17" t="n"/>
      <c r="B37" s="35" t="n"/>
      <c r="C37" s="35" t="n"/>
      <c r="D37" s="19" t="n"/>
      <c r="E37" s="17" t="n"/>
      <c r="F37" s="19" t="n"/>
      <c r="G37" s="20" t="n"/>
      <c r="H37" s="36" t="n"/>
      <c r="I37" s="19" t="n"/>
      <c r="J37" s="19" t="n"/>
      <c r="K37" s="17" t="n"/>
      <c r="L37" s="17" t="n"/>
      <c r="M37" s="35" t="n"/>
      <c r="N37" s="36" t="n"/>
      <c r="O37" s="33">
        <f>IF($A37="","",IF(AND(ISNUMBER($H37),ISNUMBER($N37)),$N37-$H37,""))</f>
        <v/>
      </c>
      <c r="P37" s="34">
        <f>IF(OR($A37="",NOT(ISNUMBER($C37))),"",$C37-TODAY())</f>
        <v/>
      </c>
      <c r="Q37" s="25">
        <f>IF($A37="","",IF(OR(NOT(ISNUMBER($B37)),NOT(ISNUMBER($C37))),"Completar fechas",IF(OR($D37="",$E37="",$F37="",$I37="",$J37="",$K37="",$L37="",NOT(ISNUMBER($G37)),NOT(ISNUMBER($H37))),"Completar datos",IF($C37&lt;$B37,"Revisar fechas",IF(AND($L37="Aplicado",NOT(ISNUMBER($M37))),"Falta fecha de aplicación",IF(AND($L37="Aplicado",NOT(ISNUMBER($N37))),"Falta importe final",IF(AND($L37&lt;&gt;"Aplicado",ISNUMBER($M37)),"Revisar fecha de aplicación",IF(AND($K37="Rechazado",$L37&lt;&gt;"Cancelado"),"Revisar estados",IF(AND($H37&gt;=$Y$8,$K37="Pendiente"),"Revisar aprobación",IF(AND($P37&lt;=$Z$8,$P37&gt;=0,$L37="Pendiente"),"Salida próxima: comprobar",IF(AND($P37&lt;0,$L37="Pendiente"),"Salida pasada: comprobar","")))))))))))</f>
        <v/>
      </c>
      <c r="R37">
        <f>IFERROR(INDEX('Parámetros'!$E$4:$E$8,30),"")</f>
        <v/>
      </c>
      <c r="S37">
        <f>IFERROR(INDEX('Parámetros'!$F$4:$F$7,30),"")</f>
        <v/>
      </c>
      <c r="T37">
        <f>IFERROR(INDEX('Parámetros'!$G$4:$G$6,30),"")</f>
        <v/>
      </c>
    </row>
    <row r="38" ht="32" customHeight="1">
      <c r="A38" s="17" t="n"/>
      <c r="B38" s="35" t="n"/>
      <c r="C38" s="35" t="n"/>
      <c r="D38" s="19" t="n"/>
      <c r="E38" s="17" t="n"/>
      <c r="F38" s="19" t="n"/>
      <c r="G38" s="20" t="n"/>
      <c r="H38" s="36" t="n"/>
      <c r="I38" s="19" t="n"/>
      <c r="J38" s="19" t="n"/>
      <c r="K38" s="17" t="n"/>
      <c r="L38" s="17" t="n"/>
      <c r="M38" s="35" t="n"/>
      <c r="N38" s="36" t="n"/>
      <c r="O38" s="37">
        <f>IF($A38="","",IF(AND(ISNUMBER($H38),ISNUMBER($N38)),$N38-$H38,""))</f>
        <v/>
      </c>
      <c r="P38" s="38">
        <f>IF(OR($A38="",NOT(ISNUMBER($C38))),"",$C38-TODAY())</f>
        <v/>
      </c>
      <c r="Q38" s="24">
        <f>IF($A38="","",IF(OR(NOT(ISNUMBER($B38)),NOT(ISNUMBER($C38))),"Completar fechas",IF(OR($D38="",$E38="",$F38="",$I38="",$J38="",$K38="",$L38="",NOT(ISNUMBER($G38)),NOT(ISNUMBER($H38))),"Completar datos",IF($C38&lt;$B38,"Revisar fechas",IF(AND($L38="Aplicado",NOT(ISNUMBER($M38))),"Falta fecha de aplicación",IF(AND($L38="Aplicado",NOT(ISNUMBER($N38))),"Falta importe final",IF(AND($L38&lt;&gt;"Aplicado",ISNUMBER($M38)),"Revisar fecha de aplicación",IF(AND($K38="Rechazado",$L38&lt;&gt;"Cancelado"),"Revisar estados",IF(AND($H38&gt;=$Y$8,$K38="Pendiente"),"Revisar aprobación",IF(AND($P38&lt;=$Z$8,$P38&gt;=0,$L38="Pendiente"),"Salida próxima: comprobar",IF(AND($P38&lt;0,$L38="Pendiente"),"Salida pasada: comprobar","")))))))))))</f>
        <v/>
      </c>
      <c r="R38">
        <f>IFERROR(INDEX('Parámetros'!$E$4:$E$8,31),"")</f>
        <v/>
      </c>
      <c r="S38">
        <f>IFERROR(INDEX('Parámetros'!$F$4:$F$7,31),"")</f>
        <v/>
      </c>
      <c r="T38">
        <f>IFERROR(INDEX('Parámetros'!$G$4:$G$6,31),"")</f>
        <v/>
      </c>
    </row>
    <row r="39" ht="32" customHeight="1">
      <c r="A39" s="17" t="n"/>
      <c r="B39" s="35" t="n"/>
      <c r="C39" s="35" t="n"/>
      <c r="D39" s="19" t="n"/>
      <c r="E39" s="17" t="n"/>
      <c r="F39" s="19" t="n"/>
      <c r="G39" s="20" t="n"/>
      <c r="H39" s="36" t="n"/>
      <c r="I39" s="19" t="n"/>
      <c r="J39" s="19" t="n"/>
      <c r="K39" s="17" t="n"/>
      <c r="L39" s="17" t="n"/>
      <c r="M39" s="35" t="n"/>
      <c r="N39" s="36" t="n"/>
      <c r="O39" s="33">
        <f>IF($A39="","",IF(AND(ISNUMBER($H39),ISNUMBER($N39)),$N39-$H39,""))</f>
        <v/>
      </c>
      <c r="P39" s="34">
        <f>IF(OR($A39="",NOT(ISNUMBER($C39))),"",$C39-TODAY())</f>
        <v/>
      </c>
      <c r="Q39" s="25">
        <f>IF($A39="","",IF(OR(NOT(ISNUMBER($B39)),NOT(ISNUMBER($C39))),"Completar fechas",IF(OR($D39="",$E39="",$F39="",$I39="",$J39="",$K39="",$L39="",NOT(ISNUMBER($G39)),NOT(ISNUMBER($H39))),"Completar datos",IF($C39&lt;$B39,"Revisar fechas",IF(AND($L39="Aplicado",NOT(ISNUMBER($M39))),"Falta fecha de aplicación",IF(AND($L39="Aplicado",NOT(ISNUMBER($N39))),"Falta importe final",IF(AND($L39&lt;&gt;"Aplicado",ISNUMBER($M39)),"Revisar fecha de aplicación",IF(AND($K39="Rechazado",$L39&lt;&gt;"Cancelado"),"Revisar estados",IF(AND($H39&gt;=$Y$8,$K39="Pendiente"),"Revisar aprobación",IF(AND($P39&lt;=$Z$8,$P39&gt;=0,$L39="Pendiente"),"Salida próxima: comprobar",IF(AND($P39&lt;0,$L39="Pendiente"),"Salida pasada: comprobar","")))))))))))</f>
        <v/>
      </c>
      <c r="R39">
        <f>IFERROR(INDEX('Parámetros'!$E$4:$E$8,32),"")</f>
        <v/>
      </c>
      <c r="S39">
        <f>IFERROR(INDEX('Parámetros'!$F$4:$F$7,32),"")</f>
        <v/>
      </c>
      <c r="T39">
        <f>IFERROR(INDEX('Parámetros'!$G$4:$G$6,32),"")</f>
        <v/>
      </c>
    </row>
    <row r="40" ht="32" customHeight="1">
      <c r="A40" s="17" t="n"/>
      <c r="B40" s="35" t="n"/>
      <c r="C40" s="35" t="n"/>
      <c r="D40" s="19" t="n"/>
      <c r="E40" s="17" t="n"/>
      <c r="F40" s="19" t="n"/>
      <c r="G40" s="20" t="n"/>
      <c r="H40" s="36" t="n"/>
      <c r="I40" s="19" t="n"/>
      <c r="J40" s="19" t="n"/>
      <c r="K40" s="17" t="n"/>
      <c r="L40" s="17" t="n"/>
      <c r="M40" s="35" t="n"/>
      <c r="N40" s="36" t="n"/>
      <c r="O40" s="37">
        <f>IF($A40="","",IF(AND(ISNUMBER($H40),ISNUMBER($N40)),$N40-$H40,""))</f>
        <v/>
      </c>
      <c r="P40" s="38">
        <f>IF(OR($A40="",NOT(ISNUMBER($C40))),"",$C40-TODAY())</f>
        <v/>
      </c>
      <c r="Q40" s="24">
        <f>IF($A40="","",IF(OR(NOT(ISNUMBER($B40)),NOT(ISNUMBER($C40))),"Completar fechas",IF(OR($D40="",$E40="",$F40="",$I40="",$J40="",$K40="",$L40="",NOT(ISNUMBER($G40)),NOT(ISNUMBER($H40))),"Completar datos",IF($C40&lt;$B40,"Revisar fechas",IF(AND($L40="Aplicado",NOT(ISNUMBER($M40))),"Falta fecha de aplicación",IF(AND($L40="Aplicado",NOT(ISNUMBER($N40))),"Falta importe final",IF(AND($L40&lt;&gt;"Aplicado",ISNUMBER($M40)),"Revisar fecha de aplicación",IF(AND($K40="Rechazado",$L40&lt;&gt;"Cancelado"),"Revisar estados",IF(AND($H40&gt;=$Y$8,$K40="Pendiente"),"Revisar aprobación",IF(AND($P40&lt;=$Z$8,$P40&gt;=0,$L40="Pendiente"),"Salida próxima: comprobar",IF(AND($P40&lt;0,$L40="Pendiente"),"Salida pasada: comprobar","")))))))))))</f>
        <v/>
      </c>
      <c r="R40">
        <f>IFERROR(INDEX('Parámetros'!$E$4:$E$8,33),"")</f>
        <v/>
      </c>
      <c r="S40">
        <f>IFERROR(INDEX('Parámetros'!$F$4:$F$7,33),"")</f>
        <v/>
      </c>
      <c r="T40">
        <f>IFERROR(INDEX('Parámetros'!$G$4:$G$6,33),"")</f>
        <v/>
      </c>
    </row>
    <row r="41" ht="32" customHeight="1">
      <c r="A41" s="17" t="n"/>
      <c r="B41" s="35" t="n"/>
      <c r="C41" s="35" t="n"/>
      <c r="D41" s="19" t="n"/>
      <c r="E41" s="17" t="n"/>
      <c r="F41" s="19" t="n"/>
      <c r="G41" s="20" t="n"/>
      <c r="H41" s="36" t="n"/>
      <c r="I41" s="19" t="n"/>
      <c r="J41" s="19" t="n"/>
      <c r="K41" s="17" t="n"/>
      <c r="L41" s="17" t="n"/>
      <c r="M41" s="35" t="n"/>
      <c r="N41" s="36" t="n"/>
      <c r="O41" s="33">
        <f>IF($A41="","",IF(AND(ISNUMBER($H41),ISNUMBER($N41)),$N41-$H41,""))</f>
        <v/>
      </c>
      <c r="P41" s="34">
        <f>IF(OR($A41="",NOT(ISNUMBER($C41))),"",$C41-TODAY())</f>
        <v/>
      </c>
      <c r="Q41" s="25">
        <f>IF($A41="","",IF(OR(NOT(ISNUMBER($B41)),NOT(ISNUMBER($C41))),"Completar fechas",IF(OR($D41="",$E41="",$F41="",$I41="",$J41="",$K41="",$L41="",NOT(ISNUMBER($G41)),NOT(ISNUMBER($H41))),"Completar datos",IF($C41&lt;$B41,"Revisar fechas",IF(AND($L41="Aplicado",NOT(ISNUMBER($M41))),"Falta fecha de aplicación",IF(AND($L41="Aplicado",NOT(ISNUMBER($N41))),"Falta importe final",IF(AND($L41&lt;&gt;"Aplicado",ISNUMBER($M41)),"Revisar fecha de aplicación",IF(AND($K41="Rechazado",$L41&lt;&gt;"Cancelado"),"Revisar estados",IF(AND($H41&gt;=$Y$8,$K41="Pendiente"),"Revisar aprobación",IF(AND($P41&lt;=$Z$8,$P41&gt;=0,$L41="Pendiente"),"Salida próxima: comprobar",IF(AND($P41&lt;0,$L41="Pendiente"),"Salida pasada: comprobar","")))))))))))</f>
        <v/>
      </c>
      <c r="R41">
        <f>IFERROR(INDEX('Parámetros'!$E$4:$E$8,34),"")</f>
        <v/>
      </c>
      <c r="S41">
        <f>IFERROR(INDEX('Parámetros'!$F$4:$F$7,34),"")</f>
        <v/>
      </c>
      <c r="T41">
        <f>IFERROR(INDEX('Parámetros'!$G$4:$G$6,34),"")</f>
        <v/>
      </c>
    </row>
    <row r="42" ht="32" customHeight="1">
      <c r="A42" s="17" t="n"/>
      <c r="B42" s="35" t="n"/>
      <c r="C42" s="35" t="n"/>
      <c r="D42" s="19" t="n"/>
      <c r="E42" s="17" t="n"/>
      <c r="F42" s="19" t="n"/>
      <c r="G42" s="20" t="n"/>
      <c r="H42" s="36" t="n"/>
      <c r="I42" s="19" t="n"/>
      <c r="J42" s="19" t="n"/>
      <c r="K42" s="17" t="n"/>
      <c r="L42" s="17" t="n"/>
      <c r="M42" s="35" t="n"/>
      <c r="N42" s="36" t="n"/>
      <c r="O42" s="37">
        <f>IF($A42="","",IF(AND(ISNUMBER($H42),ISNUMBER($N42)),$N42-$H42,""))</f>
        <v/>
      </c>
      <c r="P42" s="38">
        <f>IF(OR($A42="",NOT(ISNUMBER($C42))),"",$C42-TODAY())</f>
        <v/>
      </c>
      <c r="Q42" s="24">
        <f>IF($A42="","",IF(OR(NOT(ISNUMBER($B42)),NOT(ISNUMBER($C42))),"Completar fechas",IF(OR($D42="",$E42="",$F42="",$I42="",$J42="",$K42="",$L42="",NOT(ISNUMBER($G42)),NOT(ISNUMBER($H42))),"Completar datos",IF($C42&lt;$B42,"Revisar fechas",IF(AND($L42="Aplicado",NOT(ISNUMBER($M42))),"Falta fecha de aplicación",IF(AND($L42="Aplicado",NOT(ISNUMBER($N42))),"Falta importe final",IF(AND($L42&lt;&gt;"Aplicado",ISNUMBER($M42)),"Revisar fecha de aplicación",IF(AND($K42="Rechazado",$L42&lt;&gt;"Cancelado"),"Revisar estados",IF(AND($H42&gt;=$Y$8,$K42="Pendiente"),"Revisar aprobación",IF(AND($P42&lt;=$Z$8,$P42&gt;=0,$L42="Pendiente"),"Salida próxima: comprobar",IF(AND($P42&lt;0,$L42="Pendiente"),"Salida pasada: comprobar","")))))))))))</f>
        <v/>
      </c>
      <c r="R42">
        <f>IFERROR(INDEX('Parámetros'!$E$4:$E$8,35),"")</f>
        <v/>
      </c>
      <c r="S42">
        <f>IFERROR(INDEX('Parámetros'!$F$4:$F$7,35),"")</f>
        <v/>
      </c>
      <c r="T42">
        <f>IFERROR(INDEX('Parámetros'!$G$4:$G$6,35),"")</f>
        <v/>
      </c>
    </row>
    <row r="43" ht="32" customHeight="1">
      <c r="A43" s="17" t="n"/>
      <c r="B43" s="35" t="n"/>
      <c r="C43" s="35" t="n"/>
      <c r="D43" s="19" t="n"/>
      <c r="E43" s="17" t="n"/>
      <c r="F43" s="19" t="n"/>
      <c r="G43" s="20" t="n"/>
      <c r="H43" s="36" t="n"/>
      <c r="I43" s="19" t="n"/>
      <c r="J43" s="19" t="n"/>
      <c r="K43" s="17" t="n"/>
      <c r="L43" s="17" t="n"/>
      <c r="M43" s="35" t="n"/>
      <c r="N43" s="36" t="n"/>
      <c r="O43" s="33">
        <f>IF($A43="","",IF(AND(ISNUMBER($H43),ISNUMBER($N43)),$N43-$H43,""))</f>
        <v/>
      </c>
      <c r="P43" s="34">
        <f>IF(OR($A43="",NOT(ISNUMBER($C43))),"",$C43-TODAY())</f>
        <v/>
      </c>
      <c r="Q43" s="25">
        <f>IF($A43="","",IF(OR(NOT(ISNUMBER($B43)),NOT(ISNUMBER($C43))),"Completar fechas",IF(OR($D43="",$E43="",$F43="",$I43="",$J43="",$K43="",$L43="",NOT(ISNUMBER($G43)),NOT(ISNUMBER($H43))),"Completar datos",IF($C43&lt;$B43,"Revisar fechas",IF(AND($L43="Aplicado",NOT(ISNUMBER($M43))),"Falta fecha de aplicación",IF(AND($L43="Aplicado",NOT(ISNUMBER($N43))),"Falta importe final",IF(AND($L43&lt;&gt;"Aplicado",ISNUMBER($M43)),"Revisar fecha de aplicación",IF(AND($K43="Rechazado",$L43&lt;&gt;"Cancelado"),"Revisar estados",IF(AND($H43&gt;=$Y$8,$K43="Pendiente"),"Revisar aprobación",IF(AND($P43&lt;=$Z$8,$P43&gt;=0,$L43="Pendiente"),"Salida próxima: comprobar",IF(AND($P43&lt;0,$L43="Pendiente"),"Salida pasada: comprobar","")))))))))))</f>
        <v/>
      </c>
      <c r="R43">
        <f>IFERROR(INDEX('Parámetros'!$E$4:$E$8,36),"")</f>
        <v/>
      </c>
      <c r="S43">
        <f>IFERROR(INDEX('Parámetros'!$F$4:$F$7,36),"")</f>
        <v/>
      </c>
      <c r="T43">
        <f>IFERROR(INDEX('Parámetros'!$G$4:$G$6,36),"")</f>
        <v/>
      </c>
    </row>
    <row r="44" ht="32" customHeight="1">
      <c r="A44" s="17" t="n"/>
      <c r="B44" s="35" t="n"/>
      <c r="C44" s="35" t="n"/>
      <c r="D44" s="19" t="n"/>
      <c r="E44" s="17" t="n"/>
      <c r="F44" s="19" t="n"/>
      <c r="G44" s="20" t="n"/>
      <c r="H44" s="36" t="n"/>
      <c r="I44" s="19" t="n"/>
      <c r="J44" s="19" t="n"/>
      <c r="K44" s="17" t="n"/>
      <c r="L44" s="17" t="n"/>
      <c r="M44" s="35" t="n"/>
      <c r="N44" s="36" t="n"/>
      <c r="O44" s="37">
        <f>IF($A44="","",IF(AND(ISNUMBER($H44),ISNUMBER($N44)),$N44-$H44,""))</f>
        <v/>
      </c>
      <c r="P44" s="38">
        <f>IF(OR($A44="",NOT(ISNUMBER($C44))),"",$C44-TODAY())</f>
        <v/>
      </c>
      <c r="Q44" s="24">
        <f>IF($A44="","",IF(OR(NOT(ISNUMBER($B44)),NOT(ISNUMBER($C44))),"Completar fechas",IF(OR($D44="",$E44="",$F44="",$I44="",$J44="",$K44="",$L44="",NOT(ISNUMBER($G44)),NOT(ISNUMBER($H44))),"Completar datos",IF($C44&lt;$B44,"Revisar fechas",IF(AND($L44="Aplicado",NOT(ISNUMBER($M44))),"Falta fecha de aplicación",IF(AND($L44="Aplicado",NOT(ISNUMBER($N44))),"Falta importe final",IF(AND($L44&lt;&gt;"Aplicado",ISNUMBER($M44)),"Revisar fecha de aplicación",IF(AND($K44="Rechazado",$L44&lt;&gt;"Cancelado"),"Revisar estados",IF(AND($H44&gt;=$Y$8,$K44="Pendiente"),"Revisar aprobación",IF(AND($P44&lt;=$Z$8,$P44&gt;=0,$L44="Pendiente"),"Salida próxima: comprobar",IF(AND($P44&lt;0,$L44="Pendiente"),"Salida pasada: comprobar","")))))))))))</f>
        <v/>
      </c>
      <c r="R44">
        <f>IFERROR(INDEX('Parámetros'!$E$4:$E$8,37),"")</f>
        <v/>
      </c>
      <c r="S44">
        <f>IFERROR(INDEX('Parámetros'!$F$4:$F$7,37),"")</f>
        <v/>
      </c>
      <c r="T44">
        <f>IFERROR(INDEX('Parámetros'!$G$4:$G$6,37),"")</f>
        <v/>
      </c>
    </row>
    <row r="45" ht="32" customHeight="1">
      <c r="A45" s="17" t="n"/>
      <c r="B45" s="35" t="n"/>
      <c r="C45" s="35" t="n"/>
      <c r="D45" s="19" t="n"/>
      <c r="E45" s="17" t="n"/>
      <c r="F45" s="19" t="n"/>
      <c r="G45" s="20" t="n"/>
      <c r="H45" s="36" t="n"/>
      <c r="I45" s="19" t="n"/>
      <c r="J45" s="19" t="n"/>
      <c r="K45" s="17" t="n"/>
      <c r="L45" s="17" t="n"/>
      <c r="M45" s="35" t="n"/>
      <c r="N45" s="36" t="n"/>
      <c r="O45" s="33">
        <f>IF($A45="","",IF(AND(ISNUMBER($H45),ISNUMBER($N45)),$N45-$H45,""))</f>
        <v/>
      </c>
      <c r="P45" s="34">
        <f>IF(OR($A45="",NOT(ISNUMBER($C45))),"",$C45-TODAY())</f>
        <v/>
      </c>
      <c r="Q45" s="25">
        <f>IF($A45="","",IF(OR(NOT(ISNUMBER($B45)),NOT(ISNUMBER($C45))),"Completar fechas",IF(OR($D45="",$E45="",$F45="",$I45="",$J45="",$K45="",$L45="",NOT(ISNUMBER($G45)),NOT(ISNUMBER($H45))),"Completar datos",IF($C45&lt;$B45,"Revisar fechas",IF(AND($L45="Aplicado",NOT(ISNUMBER($M45))),"Falta fecha de aplicación",IF(AND($L45="Aplicado",NOT(ISNUMBER($N45))),"Falta importe final",IF(AND($L45&lt;&gt;"Aplicado",ISNUMBER($M45)),"Revisar fecha de aplicación",IF(AND($K45="Rechazado",$L45&lt;&gt;"Cancelado"),"Revisar estados",IF(AND($H45&gt;=$Y$8,$K45="Pendiente"),"Revisar aprobación",IF(AND($P45&lt;=$Z$8,$P45&gt;=0,$L45="Pendiente"),"Salida próxima: comprobar",IF(AND($P45&lt;0,$L45="Pendiente"),"Salida pasada: comprobar","")))))))))))</f>
        <v/>
      </c>
      <c r="R45">
        <f>IFERROR(INDEX('Parámetros'!$E$4:$E$8,38),"")</f>
        <v/>
      </c>
      <c r="S45">
        <f>IFERROR(INDEX('Parámetros'!$F$4:$F$7,38),"")</f>
        <v/>
      </c>
      <c r="T45">
        <f>IFERROR(INDEX('Parámetros'!$G$4:$G$6,38),"")</f>
        <v/>
      </c>
    </row>
    <row r="46" ht="32" customHeight="1">
      <c r="A46" s="17" t="n"/>
      <c r="B46" s="35" t="n"/>
      <c r="C46" s="35" t="n"/>
      <c r="D46" s="19" t="n"/>
      <c r="E46" s="17" t="n"/>
      <c r="F46" s="19" t="n"/>
      <c r="G46" s="20" t="n"/>
      <c r="H46" s="36" t="n"/>
      <c r="I46" s="19" t="n"/>
      <c r="J46" s="19" t="n"/>
      <c r="K46" s="17" t="n"/>
      <c r="L46" s="17" t="n"/>
      <c r="M46" s="35" t="n"/>
      <c r="N46" s="36" t="n"/>
      <c r="O46" s="37">
        <f>IF($A46="","",IF(AND(ISNUMBER($H46),ISNUMBER($N46)),$N46-$H46,""))</f>
        <v/>
      </c>
      <c r="P46" s="38">
        <f>IF(OR($A46="",NOT(ISNUMBER($C46))),"",$C46-TODAY())</f>
        <v/>
      </c>
      <c r="Q46" s="24">
        <f>IF($A46="","",IF(OR(NOT(ISNUMBER($B46)),NOT(ISNUMBER($C46))),"Completar fechas",IF(OR($D46="",$E46="",$F46="",$I46="",$J46="",$K46="",$L46="",NOT(ISNUMBER($G46)),NOT(ISNUMBER($H46))),"Completar datos",IF($C46&lt;$B46,"Revisar fechas",IF(AND($L46="Aplicado",NOT(ISNUMBER($M46))),"Falta fecha de aplicación",IF(AND($L46="Aplicado",NOT(ISNUMBER($N46))),"Falta importe final",IF(AND($L46&lt;&gt;"Aplicado",ISNUMBER($M46)),"Revisar fecha de aplicación",IF(AND($K46="Rechazado",$L46&lt;&gt;"Cancelado"),"Revisar estados",IF(AND($H46&gt;=$Y$8,$K46="Pendiente"),"Revisar aprobación",IF(AND($P46&lt;=$Z$8,$P46&gt;=0,$L46="Pendiente"),"Salida próxima: comprobar",IF(AND($P46&lt;0,$L46="Pendiente"),"Salida pasada: comprobar","")))))))))))</f>
        <v/>
      </c>
      <c r="R46">
        <f>IFERROR(INDEX('Parámetros'!$E$4:$E$8,39),"")</f>
        <v/>
      </c>
      <c r="S46">
        <f>IFERROR(INDEX('Parámetros'!$F$4:$F$7,39),"")</f>
        <v/>
      </c>
      <c r="T46">
        <f>IFERROR(INDEX('Parámetros'!$G$4:$G$6,39),"")</f>
        <v/>
      </c>
    </row>
    <row r="47" ht="32" customHeight="1">
      <c r="A47" s="17" t="n"/>
      <c r="B47" s="35" t="n"/>
      <c r="C47" s="35" t="n"/>
      <c r="D47" s="19" t="n"/>
      <c r="E47" s="17" t="n"/>
      <c r="F47" s="19" t="n"/>
      <c r="G47" s="20" t="n"/>
      <c r="H47" s="36" t="n"/>
      <c r="I47" s="19" t="n"/>
      <c r="J47" s="19" t="n"/>
      <c r="K47" s="17" t="n"/>
      <c r="L47" s="17" t="n"/>
      <c r="M47" s="35" t="n"/>
      <c r="N47" s="36" t="n"/>
      <c r="O47" s="33">
        <f>IF($A47="","",IF(AND(ISNUMBER($H47),ISNUMBER($N47)),$N47-$H47,""))</f>
        <v/>
      </c>
      <c r="P47" s="34">
        <f>IF(OR($A47="",NOT(ISNUMBER($C47))),"",$C47-TODAY())</f>
        <v/>
      </c>
      <c r="Q47" s="25">
        <f>IF($A47="","",IF(OR(NOT(ISNUMBER($B47)),NOT(ISNUMBER($C47))),"Completar fechas",IF(OR($D47="",$E47="",$F47="",$I47="",$J47="",$K47="",$L47="",NOT(ISNUMBER($G47)),NOT(ISNUMBER($H47))),"Completar datos",IF($C47&lt;$B47,"Revisar fechas",IF(AND($L47="Aplicado",NOT(ISNUMBER($M47))),"Falta fecha de aplicación",IF(AND($L47="Aplicado",NOT(ISNUMBER($N47))),"Falta importe final",IF(AND($L47&lt;&gt;"Aplicado",ISNUMBER($M47)),"Revisar fecha de aplicación",IF(AND($K47="Rechazado",$L47&lt;&gt;"Cancelado"),"Revisar estados",IF(AND($H47&gt;=$Y$8,$K47="Pendiente"),"Revisar aprobación",IF(AND($P47&lt;=$Z$8,$P47&gt;=0,$L47="Pendiente"),"Salida próxima: comprobar",IF(AND($P47&lt;0,$L47="Pendiente"),"Salida pasada: comprobar","")))))))))))</f>
        <v/>
      </c>
      <c r="R47">
        <f>IFERROR(INDEX('Parámetros'!$E$4:$E$8,40),"")</f>
        <v/>
      </c>
      <c r="S47">
        <f>IFERROR(INDEX('Parámetros'!$F$4:$F$7,40),"")</f>
        <v/>
      </c>
      <c r="T47">
        <f>IFERROR(INDEX('Parámetros'!$G$4:$G$6,40),"")</f>
        <v/>
      </c>
    </row>
    <row r="48" ht="32" customHeight="1">
      <c r="A48" s="17" t="n"/>
      <c r="B48" s="35" t="n"/>
      <c r="C48" s="35" t="n"/>
      <c r="D48" s="19" t="n"/>
      <c r="E48" s="17" t="n"/>
      <c r="F48" s="19" t="n"/>
      <c r="G48" s="20" t="n"/>
      <c r="H48" s="36" t="n"/>
      <c r="I48" s="19" t="n"/>
      <c r="J48" s="19" t="n"/>
      <c r="K48" s="17" t="n"/>
      <c r="L48" s="17" t="n"/>
      <c r="M48" s="35" t="n"/>
      <c r="N48" s="36" t="n"/>
      <c r="O48" s="37">
        <f>IF($A48="","",IF(AND(ISNUMBER($H48),ISNUMBER($N48)),$N48-$H48,""))</f>
        <v/>
      </c>
      <c r="P48" s="38">
        <f>IF(OR($A48="",NOT(ISNUMBER($C48))),"",$C48-TODAY())</f>
        <v/>
      </c>
      <c r="Q48" s="24">
        <f>IF($A48="","",IF(OR(NOT(ISNUMBER($B48)),NOT(ISNUMBER($C48))),"Completar fechas",IF(OR($D48="",$E48="",$F48="",$I48="",$J48="",$K48="",$L48="",NOT(ISNUMBER($G48)),NOT(ISNUMBER($H48))),"Completar datos",IF($C48&lt;$B48,"Revisar fechas",IF(AND($L48="Aplicado",NOT(ISNUMBER($M48))),"Falta fecha de aplicación",IF(AND($L48="Aplicado",NOT(ISNUMBER($N48))),"Falta importe final",IF(AND($L48&lt;&gt;"Aplicado",ISNUMBER($M48)),"Revisar fecha de aplicación",IF(AND($K48="Rechazado",$L48&lt;&gt;"Cancelado"),"Revisar estados",IF(AND($H48&gt;=$Y$8,$K48="Pendiente"),"Revisar aprobación",IF(AND($P48&lt;=$Z$8,$P48&gt;=0,$L48="Pendiente"),"Salida próxima: comprobar",IF(AND($P48&lt;0,$L48="Pendiente"),"Salida pasada: comprobar","")))))))))))</f>
        <v/>
      </c>
      <c r="R48">
        <f>IFERROR(INDEX('Parámetros'!$E$4:$E$8,41),"")</f>
        <v/>
      </c>
      <c r="S48">
        <f>IFERROR(INDEX('Parámetros'!$F$4:$F$7,41),"")</f>
        <v/>
      </c>
      <c r="T48">
        <f>IFERROR(INDEX('Parámetros'!$G$4:$G$6,41),"")</f>
        <v/>
      </c>
    </row>
    <row r="49" ht="32" customHeight="1">
      <c r="A49" s="17" t="n"/>
      <c r="B49" s="35" t="n"/>
      <c r="C49" s="35" t="n"/>
      <c r="D49" s="19" t="n"/>
      <c r="E49" s="17" t="n"/>
      <c r="F49" s="19" t="n"/>
      <c r="G49" s="20" t="n"/>
      <c r="H49" s="36" t="n"/>
      <c r="I49" s="19" t="n"/>
      <c r="J49" s="19" t="n"/>
      <c r="K49" s="17" t="n"/>
      <c r="L49" s="17" t="n"/>
      <c r="M49" s="35" t="n"/>
      <c r="N49" s="36" t="n"/>
      <c r="O49" s="33">
        <f>IF($A49="","",IF(AND(ISNUMBER($H49),ISNUMBER($N49)),$N49-$H49,""))</f>
        <v/>
      </c>
      <c r="P49" s="34">
        <f>IF(OR($A49="",NOT(ISNUMBER($C49))),"",$C49-TODAY())</f>
        <v/>
      </c>
      <c r="Q49" s="25">
        <f>IF($A49="","",IF(OR(NOT(ISNUMBER($B49)),NOT(ISNUMBER($C49))),"Completar fechas",IF(OR($D49="",$E49="",$F49="",$I49="",$J49="",$K49="",$L49="",NOT(ISNUMBER($G49)),NOT(ISNUMBER($H49))),"Completar datos",IF($C49&lt;$B49,"Revisar fechas",IF(AND($L49="Aplicado",NOT(ISNUMBER($M49))),"Falta fecha de aplicación",IF(AND($L49="Aplicado",NOT(ISNUMBER($N49))),"Falta importe final",IF(AND($L49&lt;&gt;"Aplicado",ISNUMBER($M49)),"Revisar fecha de aplicación",IF(AND($K49="Rechazado",$L49&lt;&gt;"Cancelado"),"Revisar estados",IF(AND($H49&gt;=$Y$8,$K49="Pendiente"),"Revisar aprobación",IF(AND($P49&lt;=$Z$8,$P49&gt;=0,$L49="Pendiente"),"Salida próxima: comprobar",IF(AND($P49&lt;0,$L49="Pendiente"),"Salida pasada: comprobar","")))))))))))</f>
        <v/>
      </c>
      <c r="R49">
        <f>IFERROR(INDEX('Parámetros'!$E$4:$E$8,42),"")</f>
        <v/>
      </c>
      <c r="S49">
        <f>IFERROR(INDEX('Parámetros'!$F$4:$F$7,42),"")</f>
        <v/>
      </c>
      <c r="T49">
        <f>IFERROR(INDEX('Parámetros'!$G$4:$G$6,42),"")</f>
        <v/>
      </c>
    </row>
    <row r="50" ht="32" customHeight="1">
      <c r="A50" s="17" t="n"/>
      <c r="B50" s="35" t="n"/>
      <c r="C50" s="35" t="n"/>
      <c r="D50" s="19" t="n"/>
      <c r="E50" s="17" t="n"/>
      <c r="F50" s="19" t="n"/>
      <c r="G50" s="20" t="n"/>
      <c r="H50" s="36" t="n"/>
      <c r="I50" s="19" t="n"/>
      <c r="J50" s="19" t="n"/>
      <c r="K50" s="17" t="n"/>
      <c r="L50" s="17" t="n"/>
      <c r="M50" s="35" t="n"/>
      <c r="N50" s="36" t="n"/>
      <c r="O50" s="37">
        <f>IF($A50="","",IF(AND(ISNUMBER($H50),ISNUMBER($N50)),$N50-$H50,""))</f>
        <v/>
      </c>
      <c r="P50" s="38">
        <f>IF(OR($A50="",NOT(ISNUMBER($C50))),"",$C50-TODAY())</f>
        <v/>
      </c>
      <c r="Q50" s="24">
        <f>IF($A50="","",IF(OR(NOT(ISNUMBER($B50)),NOT(ISNUMBER($C50))),"Completar fechas",IF(OR($D50="",$E50="",$F50="",$I50="",$J50="",$K50="",$L50="",NOT(ISNUMBER($G50)),NOT(ISNUMBER($H50))),"Completar datos",IF($C50&lt;$B50,"Revisar fechas",IF(AND($L50="Aplicado",NOT(ISNUMBER($M50))),"Falta fecha de aplicación",IF(AND($L50="Aplicado",NOT(ISNUMBER($N50))),"Falta importe final",IF(AND($L50&lt;&gt;"Aplicado",ISNUMBER($M50)),"Revisar fecha de aplicación",IF(AND($K50="Rechazado",$L50&lt;&gt;"Cancelado"),"Revisar estados",IF(AND($H50&gt;=$Y$8,$K50="Pendiente"),"Revisar aprobación",IF(AND($P50&lt;=$Z$8,$P50&gt;=0,$L50="Pendiente"),"Salida próxima: comprobar",IF(AND($P50&lt;0,$L50="Pendiente"),"Salida pasada: comprobar","")))))))))))</f>
        <v/>
      </c>
      <c r="R50">
        <f>IFERROR(INDEX('Parámetros'!$E$4:$E$8,43),"")</f>
        <v/>
      </c>
      <c r="S50">
        <f>IFERROR(INDEX('Parámetros'!$F$4:$F$7,43),"")</f>
        <v/>
      </c>
      <c r="T50">
        <f>IFERROR(INDEX('Parámetros'!$G$4:$G$6,43),"")</f>
        <v/>
      </c>
    </row>
    <row r="51" ht="32" customHeight="1">
      <c r="A51" s="17" t="n"/>
      <c r="B51" s="35" t="n"/>
      <c r="C51" s="35" t="n"/>
      <c r="D51" s="19" t="n"/>
      <c r="E51" s="17" t="n"/>
      <c r="F51" s="19" t="n"/>
      <c r="G51" s="20" t="n"/>
      <c r="H51" s="36" t="n"/>
      <c r="I51" s="19" t="n"/>
      <c r="J51" s="19" t="n"/>
      <c r="K51" s="17" t="n"/>
      <c r="L51" s="17" t="n"/>
      <c r="M51" s="35" t="n"/>
      <c r="N51" s="36" t="n"/>
      <c r="O51" s="33">
        <f>IF($A51="","",IF(AND(ISNUMBER($H51),ISNUMBER($N51)),$N51-$H51,""))</f>
        <v/>
      </c>
      <c r="P51" s="34">
        <f>IF(OR($A51="",NOT(ISNUMBER($C51))),"",$C51-TODAY())</f>
        <v/>
      </c>
      <c r="Q51" s="25">
        <f>IF($A51="","",IF(OR(NOT(ISNUMBER($B51)),NOT(ISNUMBER($C51))),"Completar fechas",IF(OR($D51="",$E51="",$F51="",$I51="",$J51="",$K51="",$L51="",NOT(ISNUMBER($G51)),NOT(ISNUMBER($H51))),"Completar datos",IF($C51&lt;$B51,"Revisar fechas",IF(AND($L51="Aplicado",NOT(ISNUMBER($M51))),"Falta fecha de aplicación",IF(AND($L51="Aplicado",NOT(ISNUMBER($N51))),"Falta importe final",IF(AND($L51&lt;&gt;"Aplicado",ISNUMBER($M51)),"Revisar fecha de aplicación",IF(AND($K51="Rechazado",$L51&lt;&gt;"Cancelado"),"Revisar estados",IF(AND($H51&gt;=$Y$8,$K51="Pendiente"),"Revisar aprobación",IF(AND($P51&lt;=$Z$8,$P51&gt;=0,$L51="Pendiente"),"Salida próxima: comprobar",IF(AND($P51&lt;0,$L51="Pendiente"),"Salida pasada: comprobar","")))))))))))</f>
        <v/>
      </c>
      <c r="R51">
        <f>IFERROR(INDEX('Parámetros'!$E$4:$E$8,44),"")</f>
        <v/>
      </c>
      <c r="S51">
        <f>IFERROR(INDEX('Parámetros'!$F$4:$F$7,44),"")</f>
        <v/>
      </c>
      <c r="T51">
        <f>IFERROR(INDEX('Parámetros'!$G$4:$G$6,44),"")</f>
        <v/>
      </c>
    </row>
    <row r="52" ht="32" customHeight="1">
      <c r="A52" s="17" t="n"/>
      <c r="B52" s="35" t="n"/>
      <c r="C52" s="35" t="n"/>
      <c r="D52" s="19" t="n"/>
      <c r="E52" s="17" t="n"/>
      <c r="F52" s="19" t="n"/>
      <c r="G52" s="20" t="n"/>
      <c r="H52" s="36" t="n"/>
      <c r="I52" s="19" t="n"/>
      <c r="J52" s="19" t="n"/>
      <c r="K52" s="17" t="n"/>
      <c r="L52" s="17" t="n"/>
      <c r="M52" s="35" t="n"/>
      <c r="N52" s="36" t="n"/>
      <c r="O52" s="37">
        <f>IF($A52="","",IF(AND(ISNUMBER($H52),ISNUMBER($N52)),$N52-$H52,""))</f>
        <v/>
      </c>
      <c r="P52" s="38">
        <f>IF(OR($A52="",NOT(ISNUMBER($C52))),"",$C52-TODAY())</f>
        <v/>
      </c>
      <c r="Q52" s="24">
        <f>IF($A52="","",IF(OR(NOT(ISNUMBER($B52)),NOT(ISNUMBER($C52))),"Completar fechas",IF(OR($D52="",$E52="",$F52="",$I52="",$J52="",$K52="",$L52="",NOT(ISNUMBER($G52)),NOT(ISNUMBER($H52))),"Completar datos",IF($C52&lt;$B52,"Revisar fechas",IF(AND($L52="Aplicado",NOT(ISNUMBER($M52))),"Falta fecha de aplicación",IF(AND($L52="Aplicado",NOT(ISNUMBER($N52))),"Falta importe final",IF(AND($L52&lt;&gt;"Aplicado",ISNUMBER($M52)),"Revisar fecha de aplicación",IF(AND($K52="Rechazado",$L52&lt;&gt;"Cancelado"),"Revisar estados",IF(AND($H52&gt;=$Y$8,$K52="Pendiente"),"Revisar aprobación",IF(AND($P52&lt;=$Z$8,$P52&gt;=0,$L52="Pendiente"),"Salida próxima: comprobar",IF(AND($P52&lt;0,$L52="Pendiente"),"Salida pasada: comprobar","")))))))))))</f>
        <v/>
      </c>
      <c r="R52">
        <f>IFERROR(INDEX('Parámetros'!$E$4:$E$8,45),"")</f>
        <v/>
      </c>
      <c r="S52">
        <f>IFERROR(INDEX('Parámetros'!$F$4:$F$7,45),"")</f>
        <v/>
      </c>
      <c r="T52">
        <f>IFERROR(INDEX('Parámetros'!$G$4:$G$6,45),"")</f>
        <v/>
      </c>
    </row>
    <row r="53" ht="32" customHeight="1">
      <c r="A53" s="17" t="n"/>
      <c r="B53" s="35" t="n"/>
      <c r="C53" s="35" t="n"/>
      <c r="D53" s="19" t="n"/>
      <c r="E53" s="17" t="n"/>
      <c r="F53" s="19" t="n"/>
      <c r="G53" s="20" t="n"/>
      <c r="H53" s="36" t="n"/>
      <c r="I53" s="19" t="n"/>
      <c r="J53" s="19" t="n"/>
      <c r="K53" s="17" t="n"/>
      <c r="L53" s="17" t="n"/>
      <c r="M53" s="35" t="n"/>
      <c r="N53" s="36" t="n"/>
      <c r="O53" s="33">
        <f>IF($A53="","",IF(AND(ISNUMBER($H53),ISNUMBER($N53)),$N53-$H53,""))</f>
        <v/>
      </c>
      <c r="P53" s="34">
        <f>IF(OR($A53="",NOT(ISNUMBER($C53))),"",$C53-TODAY())</f>
        <v/>
      </c>
      <c r="Q53" s="25">
        <f>IF($A53="","",IF(OR(NOT(ISNUMBER($B53)),NOT(ISNUMBER($C53))),"Completar fechas",IF(OR($D53="",$E53="",$F53="",$I53="",$J53="",$K53="",$L53="",NOT(ISNUMBER($G53)),NOT(ISNUMBER($H53))),"Completar datos",IF($C53&lt;$B53,"Revisar fechas",IF(AND($L53="Aplicado",NOT(ISNUMBER($M53))),"Falta fecha de aplicación",IF(AND($L53="Aplicado",NOT(ISNUMBER($N53))),"Falta importe final",IF(AND($L53&lt;&gt;"Aplicado",ISNUMBER($M53)),"Revisar fecha de aplicación",IF(AND($K53="Rechazado",$L53&lt;&gt;"Cancelado"),"Revisar estados",IF(AND($H53&gt;=$Y$8,$K53="Pendiente"),"Revisar aprobación",IF(AND($P53&lt;=$Z$8,$P53&gt;=0,$L53="Pendiente"),"Salida próxima: comprobar",IF(AND($P53&lt;0,$L53="Pendiente"),"Salida pasada: comprobar","")))))))))))</f>
        <v/>
      </c>
      <c r="R53">
        <f>IFERROR(INDEX('Parámetros'!$E$4:$E$8,46),"")</f>
        <v/>
      </c>
      <c r="S53">
        <f>IFERROR(INDEX('Parámetros'!$F$4:$F$7,46),"")</f>
        <v/>
      </c>
      <c r="T53">
        <f>IFERROR(INDEX('Parámetros'!$G$4:$G$6,46),"")</f>
        <v/>
      </c>
    </row>
    <row r="54" ht="32" customHeight="1">
      <c r="A54" s="17" t="n"/>
      <c r="B54" s="35" t="n"/>
      <c r="C54" s="35" t="n"/>
      <c r="D54" s="19" t="n"/>
      <c r="E54" s="17" t="n"/>
      <c r="F54" s="19" t="n"/>
      <c r="G54" s="20" t="n"/>
      <c r="H54" s="36" t="n"/>
      <c r="I54" s="19" t="n"/>
      <c r="J54" s="19" t="n"/>
      <c r="K54" s="17" t="n"/>
      <c r="L54" s="17" t="n"/>
      <c r="M54" s="35" t="n"/>
      <c r="N54" s="36" t="n"/>
      <c r="O54" s="37">
        <f>IF($A54="","",IF(AND(ISNUMBER($H54),ISNUMBER($N54)),$N54-$H54,""))</f>
        <v/>
      </c>
      <c r="P54" s="38">
        <f>IF(OR($A54="",NOT(ISNUMBER($C54))),"",$C54-TODAY())</f>
        <v/>
      </c>
      <c r="Q54" s="24">
        <f>IF($A54="","",IF(OR(NOT(ISNUMBER($B54)),NOT(ISNUMBER($C54))),"Completar fechas",IF(OR($D54="",$E54="",$F54="",$I54="",$J54="",$K54="",$L54="",NOT(ISNUMBER($G54)),NOT(ISNUMBER($H54))),"Completar datos",IF($C54&lt;$B54,"Revisar fechas",IF(AND($L54="Aplicado",NOT(ISNUMBER($M54))),"Falta fecha de aplicación",IF(AND($L54="Aplicado",NOT(ISNUMBER($N54))),"Falta importe final",IF(AND($L54&lt;&gt;"Aplicado",ISNUMBER($M54)),"Revisar fecha de aplicación",IF(AND($K54="Rechazado",$L54&lt;&gt;"Cancelado"),"Revisar estados",IF(AND($H54&gt;=$Y$8,$K54="Pendiente"),"Revisar aprobación",IF(AND($P54&lt;=$Z$8,$P54&gt;=0,$L54="Pendiente"),"Salida próxima: comprobar",IF(AND($P54&lt;0,$L54="Pendiente"),"Salida pasada: comprobar","")))))))))))</f>
        <v/>
      </c>
      <c r="R54">
        <f>IFERROR(INDEX('Parámetros'!$E$4:$E$8,47),"")</f>
        <v/>
      </c>
      <c r="S54">
        <f>IFERROR(INDEX('Parámetros'!$F$4:$F$7,47),"")</f>
        <v/>
      </c>
      <c r="T54">
        <f>IFERROR(INDEX('Parámetros'!$G$4:$G$6,47),"")</f>
        <v/>
      </c>
    </row>
    <row r="55" ht="32" customHeight="1">
      <c r="A55" s="17" t="n"/>
      <c r="B55" s="35" t="n"/>
      <c r="C55" s="35" t="n"/>
      <c r="D55" s="19" t="n"/>
      <c r="E55" s="17" t="n"/>
      <c r="F55" s="19" t="n"/>
      <c r="G55" s="20" t="n"/>
      <c r="H55" s="36" t="n"/>
      <c r="I55" s="19" t="n"/>
      <c r="J55" s="19" t="n"/>
      <c r="K55" s="17" t="n"/>
      <c r="L55" s="17" t="n"/>
      <c r="M55" s="35" t="n"/>
      <c r="N55" s="36" t="n"/>
      <c r="O55" s="33">
        <f>IF($A55="","",IF(AND(ISNUMBER($H55),ISNUMBER($N55)),$N55-$H55,""))</f>
        <v/>
      </c>
      <c r="P55" s="34">
        <f>IF(OR($A55="",NOT(ISNUMBER($C55))),"",$C55-TODAY())</f>
        <v/>
      </c>
      <c r="Q55" s="25">
        <f>IF($A55="","",IF(OR(NOT(ISNUMBER($B55)),NOT(ISNUMBER($C55))),"Completar fechas",IF(OR($D55="",$E55="",$F55="",$I55="",$J55="",$K55="",$L55="",NOT(ISNUMBER($G55)),NOT(ISNUMBER($H55))),"Completar datos",IF($C55&lt;$B55,"Revisar fechas",IF(AND($L55="Aplicado",NOT(ISNUMBER($M55))),"Falta fecha de aplicación",IF(AND($L55="Aplicado",NOT(ISNUMBER($N55))),"Falta importe final",IF(AND($L55&lt;&gt;"Aplicado",ISNUMBER($M55)),"Revisar fecha de aplicación",IF(AND($K55="Rechazado",$L55&lt;&gt;"Cancelado"),"Revisar estados",IF(AND($H55&gt;=$Y$8,$K55="Pendiente"),"Revisar aprobación",IF(AND($P55&lt;=$Z$8,$P55&gt;=0,$L55="Pendiente"),"Salida próxima: comprobar",IF(AND($P55&lt;0,$L55="Pendiente"),"Salida pasada: comprobar","")))))))))))</f>
        <v/>
      </c>
      <c r="R55">
        <f>IFERROR(INDEX('Parámetros'!$E$4:$E$8,48),"")</f>
        <v/>
      </c>
      <c r="S55">
        <f>IFERROR(INDEX('Parámetros'!$F$4:$F$7,48),"")</f>
        <v/>
      </c>
      <c r="T55">
        <f>IFERROR(INDEX('Parámetros'!$G$4:$G$6,48),"")</f>
        <v/>
      </c>
    </row>
    <row r="56" ht="32" customHeight="1">
      <c r="A56" s="17" t="n"/>
      <c r="B56" s="35" t="n"/>
      <c r="C56" s="35" t="n"/>
      <c r="D56" s="19" t="n"/>
      <c r="E56" s="17" t="n"/>
      <c r="F56" s="19" t="n"/>
      <c r="G56" s="20" t="n"/>
      <c r="H56" s="36" t="n"/>
      <c r="I56" s="19" t="n"/>
      <c r="J56" s="19" t="n"/>
      <c r="K56" s="17" t="n"/>
      <c r="L56" s="17" t="n"/>
      <c r="M56" s="35" t="n"/>
      <c r="N56" s="36" t="n"/>
      <c r="O56" s="37">
        <f>IF($A56="","",IF(AND(ISNUMBER($H56),ISNUMBER($N56)),$N56-$H56,""))</f>
        <v/>
      </c>
      <c r="P56" s="38">
        <f>IF(OR($A56="",NOT(ISNUMBER($C56))),"",$C56-TODAY())</f>
        <v/>
      </c>
      <c r="Q56" s="24">
        <f>IF($A56="","",IF(OR(NOT(ISNUMBER($B56)),NOT(ISNUMBER($C56))),"Completar fechas",IF(OR($D56="",$E56="",$F56="",$I56="",$J56="",$K56="",$L56="",NOT(ISNUMBER($G56)),NOT(ISNUMBER($H56))),"Completar datos",IF($C56&lt;$B56,"Revisar fechas",IF(AND($L56="Aplicado",NOT(ISNUMBER($M56))),"Falta fecha de aplicación",IF(AND($L56="Aplicado",NOT(ISNUMBER($N56))),"Falta importe final",IF(AND($L56&lt;&gt;"Aplicado",ISNUMBER($M56)),"Revisar fecha de aplicación",IF(AND($K56="Rechazado",$L56&lt;&gt;"Cancelado"),"Revisar estados",IF(AND($H56&gt;=$Y$8,$K56="Pendiente"),"Revisar aprobación",IF(AND($P56&lt;=$Z$8,$P56&gt;=0,$L56="Pendiente"),"Salida próxima: comprobar",IF(AND($P56&lt;0,$L56="Pendiente"),"Salida pasada: comprobar","")))))))))))</f>
        <v/>
      </c>
      <c r="R56">
        <f>IFERROR(INDEX('Parámetros'!$E$4:$E$8,49),"")</f>
        <v/>
      </c>
      <c r="S56">
        <f>IFERROR(INDEX('Parámetros'!$F$4:$F$7,49),"")</f>
        <v/>
      </c>
      <c r="T56">
        <f>IFERROR(INDEX('Parámetros'!$G$4:$G$6,49),"")</f>
        <v/>
      </c>
    </row>
    <row r="57" ht="32" customHeight="1">
      <c r="A57" s="17" t="n"/>
      <c r="B57" s="35" t="n"/>
      <c r="C57" s="35" t="n"/>
      <c r="D57" s="19" t="n"/>
      <c r="E57" s="17" t="n"/>
      <c r="F57" s="19" t="n"/>
      <c r="G57" s="20" t="n"/>
      <c r="H57" s="36" t="n"/>
      <c r="I57" s="19" t="n"/>
      <c r="J57" s="19" t="n"/>
      <c r="K57" s="17" t="n"/>
      <c r="L57" s="17" t="n"/>
      <c r="M57" s="35" t="n"/>
      <c r="N57" s="36" t="n"/>
      <c r="O57" s="33">
        <f>IF($A57="","",IF(AND(ISNUMBER($H57),ISNUMBER($N57)),$N57-$H57,""))</f>
        <v/>
      </c>
      <c r="P57" s="34">
        <f>IF(OR($A57="",NOT(ISNUMBER($C57))),"",$C57-TODAY())</f>
        <v/>
      </c>
      <c r="Q57" s="25">
        <f>IF($A57="","",IF(OR(NOT(ISNUMBER($B57)),NOT(ISNUMBER($C57))),"Completar fechas",IF(OR($D57="",$E57="",$F57="",$I57="",$J57="",$K57="",$L57="",NOT(ISNUMBER($G57)),NOT(ISNUMBER($H57))),"Completar datos",IF($C57&lt;$B57,"Revisar fechas",IF(AND($L57="Aplicado",NOT(ISNUMBER($M57))),"Falta fecha de aplicación",IF(AND($L57="Aplicado",NOT(ISNUMBER($N57))),"Falta importe final",IF(AND($L57&lt;&gt;"Aplicado",ISNUMBER($M57)),"Revisar fecha de aplicación",IF(AND($K57="Rechazado",$L57&lt;&gt;"Cancelado"),"Revisar estados",IF(AND($H57&gt;=$Y$8,$K57="Pendiente"),"Revisar aprobación",IF(AND($P57&lt;=$Z$8,$P57&gt;=0,$L57="Pendiente"),"Salida próxima: comprobar",IF(AND($P57&lt;0,$L57="Pendiente"),"Salida pasada: comprobar","")))))))))))</f>
        <v/>
      </c>
      <c r="R57">
        <f>IFERROR(INDEX('Parámetros'!$E$4:$E$8,50),"")</f>
        <v/>
      </c>
      <c r="S57">
        <f>IFERROR(INDEX('Parámetros'!$F$4:$F$7,50),"")</f>
        <v/>
      </c>
      <c r="T57">
        <f>IFERROR(INDEX('Parámetros'!$G$4:$G$6,50),"")</f>
        <v/>
      </c>
    </row>
    <row r="58" ht="32" customHeight="1">
      <c r="A58" s="17" t="n"/>
      <c r="B58" s="35" t="n"/>
      <c r="C58" s="35" t="n"/>
      <c r="D58" s="19" t="n"/>
      <c r="E58" s="17" t="n"/>
      <c r="F58" s="19" t="n"/>
      <c r="G58" s="20" t="n"/>
      <c r="H58" s="36" t="n"/>
      <c r="I58" s="19" t="n"/>
      <c r="J58" s="19" t="n"/>
      <c r="K58" s="17" t="n"/>
      <c r="L58" s="17" t="n"/>
      <c r="M58" s="35" t="n"/>
      <c r="N58" s="36" t="n"/>
      <c r="O58" s="37">
        <f>IF($A58="","",IF(AND(ISNUMBER($H58),ISNUMBER($N58)),$N58-$H58,""))</f>
        <v/>
      </c>
      <c r="P58" s="38">
        <f>IF(OR($A58="",NOT(ISNUMBER($C58))),"",$C58-TODAY())</f>
        <v/>
      </c>
      <c r="Q58" s="24">
        <f>IF($A58="","",IF(OR(NOT(ISNUMBER($B58)),NOT(ISNUMBER($C58))),"Completar fechas",IF(OR($D58="",$E58="",$F58="",$I58="",$J58="",$K58="",$L58="",NOT(ISNUMBER($G58)),NOT(ISNUMBER($H58))),"Completar datos",IF($C58&lt;$B58,"Revisar fechas",IF(AND($L58="Aplicado",NOT(ISNUMBER($M58))),"Falta fecha de aplicación",IF(AND($L58="Aplicado",NOT(ISNUMBER($N58))),"Falta importe final",IF(AND($L58&lt;&gt;"Aplicado",ISNUMBER($M58)),"Revisar fecha de aplicación",IF(AND($K58="Rechazado",$L58&lt;&gt;"Cancelado"),"Revisar estados",IF(AND($H58&gt;=$Y$8,$K58="Pendiente"),"Revisar aprobación",IF(AND($P58&lt;=$Z$8,$P58&gt;=0,$L58="Pendiente"),"Salida próxima: comprobar",IF(AND($P58&lt;0,$L58="Pendiente"),"Salida pasada: comprobar","")))))))))))</f>
        <v/>
      </c>
      <c r="R58">
        <f>IFERROR(INDEX('Parámetros'!$E$4:$E$8,51),"")</f>
        <v/>
      </c>
      <c r="S58">
        <f>IFERROR(INDEX('Parámetros'!$F$4:$F$7,51),"")</f>
        <v/>
      </c>
      <c r="T58">
        <f>IFERROR(INDEX('Parámetros'!$G$4:$G$6,51),"")</f>
        <v/>
      </c>
    </row>
    <row r="59" ht="32" customHeight="1">
      <c r="A59" s="17" t="n"/>
      <c r="B59" s="35" t="n"/>
      <c r="C59" s="35" t="n"/>
      <c r="D59" s="19" t="n"/>
      <c r="E59" s="17" t="n"/>
      <c r="F59" s="19" t="n"/>
      <c r="G59" s="20" t="n"/>
      <c r="H59" s="36" t="n"/>
      <c r="I59" s="19" t="n"/>
      <c r="J59" s="19" t="n"/>
      <c r="K59" s="17" t="n"/>
      <c r="L59" s="17" t="n"/>
      <c r="M59" s="35" t="n"/>
      <c r="N59" s="36" t="n"/>
      <c r="O59" s="33">
        <f>IF($A59="","",IF(AND(ISNUMBER($H59),ISNUMBER($N59)),$N59-$H59,""))</f>
        <v/>
      </c>
      <c r="P59" s="34">
        <f>IF(OR($A59="",NOT(ISNUMBER($C59))),"",$C59-TODAY())</f>
        <v/>
      </c>
      <c r="Q59" s="25">
        <f>IF($A59="","",IF(OR(NOT(ISNUMBER($B59)),NOT(ISNUMBER($C59))),"Completar fechas",IF(OR($D59="",$E59="",$F59="",$I59="",$J59="",$K59="",$L59="",NOT(ISNUMBER($G59)),NOT(ISNUMBER($H59))),"Completar datos",IF($C59&lt;$B59,"Revisar fechas",IF(AND($L59="Aplicado",NOT(ISNUMBER($M59))),"Falta fecha de aplicación",IF(AND($L59="Aplicado",NOT(ISNUMBER($N59))),"Falta importe final",IF(AND($L59&lt;&gt;"Aplicado",ISNUMBER($M59)),"Revisar fecha de aplicación",IF(AND($K59="Rechazado",$L59&lt;&gt;"Cancelado"),"Revisar estados",IF(AND($H59&gt;=$Y$8,$K59="Pendiente"),"Revisar aprobación",IF(AND($P59&lt;=$Z$8,$P59&gt;=0,$L59="Pendiente"),"Salida próxima: comprobar",IF(AND($P59&lt;0,$L59="Pendiente"),"Salida pasada: comprobar","")))))))))))</f>
        <v/>
      </c>
      <c r="R59">
        <f>IFERROR(INDEX('Parámetros'!$E$4:$E$8,52),"")</f>
        <v/>
      </c>
      <c r="S59">
        <f>IFERROR(INDEX('Parámetros'!$F$4:$F$7,52),"")</f>
        <v/>
      </c>
      <c r="T59">
        <f>IFERROR(INDEX('Parámetros'!$G$4:$G$6,52),"")</f>
        <v/>
      </c>
    </row>
    <row r="60" ht="32" customHeight="1">
      <c r="A60" s="17" t="n"/>
      <c r="B60" s="35" t="n"/>
      <c r="C60" s="35" t="n"/>
      <c r="D60" s="19" t="n"/>
      <c r="E60" s="17" t="n"/>
      <c r="F60" s="19" t="n"/>
      <c r="G60" s="20" t="n"/>
      <c r="H60" s="36" t="n"/>
      <c r="I60" s="19" t="n"/>
      <c r="J60" s="19" t="n"/>
      <c r="K60" s="17" t="n"/>
      <c r="L60" s="17" t="n"/>
      <c r="M60" s="35" t="n"/>
      <c r="N60" s="36" t="n"/>
      <c r="O60" s="37">
        <f>IF($A60="","",IF(AND(ISNUMBER($H60),ISNUMBER($N60)),$N60-$H60,""))</f>
        <v/>
      </c>
      <c r="P60" s="38">
        <f>IF(OR($A60="",NOT(ISNUMBER($C60))),"",$C60-TODAY())</f>
        <v/>
      </c>
      <c r="Q60" s="24">
        <f>IF($A60="","",IF(OR(NOT(ISNUMBER($B60)),NOT(ISNUMBER($C60))),"Completar fechas",IF(OR($D60="",$E60="",$F60="",$I60="",$J60="",$K60="",$L60="",NOT(ISNUMBER($G60)),NOT(ISNUMBER($H60))),"Completar datos",IF($C60&lt;$B60,"Revisar fechas",IF(AND($L60="Aplicado",NOT(ISNUMBER($M60))),"Falta fecha de aplicación",IF(AND($L60="Aplicado",NOT(ISNUMBER($N60))),"Falta importe final",IF(AND($L60&lt;&gt;"Aplicado",ISNUMBER($M60)),"Revisar fecha de aplicación",IF(AND($K60="Rechazado",$L60&lt;&gt;"Cancelado"),"Revisar estados",IF(AND($H60&gt;=$Y$8,$K60="Pendiente"),"Revisar aprobación",IF(AND($P60&lt;=$Z$8,$P60&gt;=0,$L60="Pendiente"),"Salida próxima: comprobar",IF(AND($P60&lt;0,$L60="Pendiente"),"Salida pasada: comprobar","")))))))))))</f>
        <v/>
      </c>
      <c r="R60">
        <f>IFERROR(INDEX('Parámetros'!$E$4:$E$8,53),"")</f>
        <v/>
      </c>
      <c r="S60">
        <f>IFERROR(INDEX('Parámetros'!$F$4:$F$7,53),"")</f>
        <v/>
      </c>
      <c r="T60">
        <f>IFERROR(INDEX('Parámetros'!$G$4:$G$6,53),"")</f>
        <v/>
      </c>
    </row>
    <row r="61" ht="32" customHeight="1">
      <c r="A61" s="17" t="n"/>
      <c r="B61" s="35" t="n"/>
      <c r="C61" s="35" t="n"/>
      <c r="D61" s="19" t="n"/>
      <c r="E61" s="17" t="n"/>
      <c r="F61" s="19" t="n"/>
      <c r="G61" s="20" t="n"/>
      <c r="H61" s="36" t="n"/>
      <c r="I61" s="19" t="n"/>
      <c r="J61" s="19" t="n"/>
      <c r="K61" s="17" t="n"/>
      <c r="L61" s="17" t="n"/>
      <c r="M61" s="35" t="n"/>
      <c r="N61" s="36" t="n"/>
      <c r="O61" s="33">
        <f>IF($A61="","",IF(AND(ISNUMBER($H61),ISNUMBER($N61)),$N61-$H61,""))</f>
        <v/>
      </c>
      <c r="P61" s="34">
        <f>IF(OR($A61="",NOT(ISNUMBER($C61))),"",$C61-TODAY())</f>
        <v/>
      </c>
      <c r="Q61" s="25">
        <f>IF($A61="","",IF(OR(NOT(ISNUMBER($B61)),NOT(ISNUMBER($C61))),"Completar fechas",IF(OR($D61="",$E61="",$F61="",$I61="",$J61="",$K61="",$L61="",NOT(ISNUMBER($G61)),NOT(ISNUMBER($H61))),"Completar datos",IF($C61&lt;$B61,"Revisar fechas",IF(AND($L61="Aplicado",NOT(ISNUMBER($M61))),"Falta fecha de aplicación",IF(AND($L61="Aplicado",NOT(ISNUMBER($N61))),"Falta importe final",IF(AND($L61&lt;&gt;"Aplicado",ISNUMBER($M61)),"Revisar fecha de aplicación",IF(AND($K61="Rechazado",$L61&lt;&gt;"Cancelado"),"Revisar estados",IF(AND($H61&gt;=$Y$8,$K61="Pendiente"),"Revisar aprobación",IF(AND($P61&lt;=$Z$8,$P61&gt;=0,$L61="Pendiente"),"Salida próxima: comprobar",IF(AND($P61&lt;0,$L61="Pendiente"),"Salida pasada: comprobar","")))))))))))</f>
        <v/>
      </c>
      <c r="R61">
        <f>IFERROR(INDEX('Parámetros'!$E$4:$E$8,54),"")</f>
        <v/>
      </c>
      <c r="S61">
        <f>IFERROR(INDEX('Parámetros'!$F$4:$F$7,54),"")</f>
        <v/>
      </c>
      <c r="T61">
        <f>IFERROR(INDEX('Parámetros'!$G$4:$G$6,54),"")</f>
        <v/>
      </c>
    </row>
    <row r="62" ht="32" customHeight="1">
      <c r="A62" s="17" t="n"/>
      <c r="B62" s="35" t="n"/>
      <c r="C62" s="35" t="n"/>
      <c r="D62" s="19" t="n"/>
      <c r="E62" s="17" t="n"/>
      <c r="F62" s="19" t="n"/>
      <c r="G62" s="20" t="n"/>
      <c r="H62" s="36" t="n"/>
      <c r="I62" s="19" t="n"/>
      <c r="J62" s="19" t="n"/>
      <c r="K62" s="17" t="n"/>
      <c r="L62" s="17" t="n"/>
      <c r="M62" s="35" t="n"/>
      <c r="N62" s="36" t="n"/>
      <c r="O62" s="37">
        <f>IF($A62="","",IF(AND(ISNUMBER($H62),ISNUMBER($N62)),$N62-$H62,""))</f>
        <v/>
      </c>
      <c r="P62" s="38">
        <f>IF(OR($A62="",NOT(ISNUMBER($C62))),"",$C62-TODAY())</f>
        <v/>
      </c>
      <c r="Q62" s="24">
        <f>IF($A62="","",IF(OR(NOT(ISNUMBER($B62)),NOT(ISNUMBER($C62))),"Completar fechas",IF(OR($D62="",$E62="",$F62="",$I62="",$J62="",$K62="",$L62="",NOT(ISNUMBER($G62)),NOT(ISNUMBER($H62))),"Completar datos",IF($C62&lt;$B62,"Revisar fechas",IF(AND($L62="Aplicado",NOT(ISNUMBER($M62))),"Falta fecha de aplicación",IF(AND($L62="Aplicado",NOT(ISNUMBER($N62))),"Falta importe final",IF(AND($L62&lt;&gt;"Aplicado",ISNUMBER($M62)),"Revisar fecha de aplicación",IF(AND($K62="Rechazado",$L62&lt;&gt;"Cancelado"),"Revisar estados",IF(AND($H62&gt;=$Y$8,$K62="Pendiente"),"Revisar aprobación",IF(AND($P62&lt;=$Z$8,$P62&gt;=0,$L62="Pendiente"),"Salida próxima: comprobar",IF(AND($P62&lt;0,$L62="Pendiente"),"Salida pasada: comprobar","")))))))))))</f>
        <v/>
      </c>
      <c r="R62">
        <f>IFERROR(INDEX('Parámetros'!$E$4:$E$8,55),"")</f>
        <v/>
      </c>
      <c r="S62">
        <f>IFERROR(INDEX('Parámetros'!$F$4:$F$7,55),"")</f>
        <v/>
      </c>
      <c r="T62">
        <f>IFERROR(INDEX('Parámetros'!$G$4:$G$6,55),"")</f>
        <v/>
      </c>
    </row>
    <row r="63" ht="32" customHeight="1">
      <c r="A63" s="17" t="n"/>
      <c r="B63" s="35" t="n"/>
      <c r="C63" s="35" t="n"/>
      <c r="D63" s="19" t="n"/>
      <c r="E63" s="17" t="n"/>
      <c r="F63" s="19" t="n"/>
      <c r="G63" s="20" t="n"/>
      <c r="H63" s="36" t="n"/>
      <c r="I63" s="19" t="n"/>
      <c r="J63" s="19" t="n"/>
      <c r="K63" s="17" t="n"/>
      <c r="L63" s="17" t="n"/>
      <c r="M63" s="35" t="n"/>
      <c r="N63" s="36" t="n"/>
      <c r="O63" s="33">
        <f>IF($A63="","",IF(AND(ISNUMBER($H63),ISNUMBER($N63)),$N63-$H63,""))</f>
        <v/>
      </c>
      <c r="P63" s="34">
        <f>IF(OR($A63="",NOT(ISNUMBER($C63))),"",$C63-TODAY())</f>
        <v/>
      </c>
      <c r="Q63" s="25">
        <f>IF($A63="","",IF(OR(NOT(ISNUMBER($B63)),NOT(ISNUMBER($C63))),"Completar fechas",IF(OR($D63="",$E63="",$F63="",$I63="",$J63="",$K63="",$L63="",NOT(ISNUMBER($G63)),NOT(ISNUMBER($H63))),"Completar datos",IF($C63&lt;$B63,"Revisar fechas",IF(AND($L63="Aplicado",NOT(ISNUMBER($M63))),"Falta fecha de aplicación",IF(AND($L63="Aplicado",NOT(ISNUMBER($N63))),"Falta importe final",IF(AND($L63&lt;&gt;"Aplicado",ISNUMBER($M63)),"Revisar fecha de aplicación",IF(AND($K63="Rechazado",$L63&lt;&gt;"Cancelado"),"Revisar estados",IF(AND($H63&gt;=$Y$8,$K63="Pendiente"),"Revisar aprobación",IF(AND($P63&lt;=$Z$8,$P63&gt;=0,$L63="Pendiente"),"Salida próxima: comprobar",IF(AND($P63&lt;0,$L63="Pendiente"),"Salida pasada: comprobar","")))))))))))</f>
        <v/>
      </c>
      <c r="R63">
        <f>IFERROR(INDEX('Parámetros'!$E$4:$E$8,56),"")</f>
        <v/>
      </c>
      <c r="S63">
        <f>IFERROR(INDEX('Parámetros'!$F$4:$F$7,56),"")</f>
        <v/>
      </c>
      <c r="T63">
        <f>IFERROR(INDEX('Parámetros'!$G$4:$G$6,56),"")</f>
        <v/>
      </c>
    </row>
    <row r="64" ht="32" customHeight="1">
      <c r="A64" s="17" t="n"/>
      <c r="B64" s="35" t="n"/>
      <c r="C64" s="35" t="n"/>
      <c r="D64" s="19" t="n"/>
      <c r="E64" s="17" t="n"/>
      <c r="F64" s="19" t="n"/>
      <c r="G64" s="20" t="n"/>
      <c r="H64" s="36" t="n"/>
      <c r="I64" s="19" t="n"/>
      <c r="J64" s="19" t="n"/>
      <c r="K64" s="17" t="n"/>
      <c r="L64" s="17" t="n"/>
      <c r="M64" s="35" t="n"/>
      <c r="N64" s="36" t="n"/>
      <c r="O64" s="37">
        <f>IF($A64="","",IF(AND(ISNUMBER($H64),ISNUMBER($N64)),$N64-$H64,""))</f>
        <v/>
      </c>
      <c r="P64" s="38">
        <f>IF(OR($A64="",NOT(ISNUMBER($C64))),"",$C64-TODAY())</f>
        <v/>
      </c>
      <c r="Q64" s="24">
        <f>IF($A64="","",IF(OR(NOT(ISNUMBER($B64)),NOT(ISNUMBER($C64))),"Completar fechas",IF(OR($D64="",$E64="",$F64="",$I64="",$J64="",$K64="",$L64="",NOT(ISNUMBER($G64)),NOT(ISNUMBER($H64))),"Completar datos",IF($C64&lt;$B64,"Revisar fechas",IF(AND($L64="Aplicado",NOT(ISNUMBER($M64))),"Falta fecha de aplicación",IF(AND($L64="Aplicado",NOT(ISNUMBER($N64))),"Falta importe final",IF(AND($L64&lt;&gt;"Aplicado",ISNUMBER($M64)),"Revisar fecha de aplicación",IF(AND($K64="Rechazado",$L64&lt;&gt;"Cancelado"),"Revisar estados",IF(AND($H64&gt;=$Y$8,$K64="Pendiente"),"Revisar aprobación",IF(AND($P64&lt;=$Z$8,$P64&gt;=0,$L64="Pendiente"),"Salida próxima: comprobar",IF(AND($P64&lt;0,$L64="Pendiente"),"Salida pasada: comprobar","")))))))))))</f>
        <v/>
      </c>
      <c r="R64">
        <f>IFERROR(INDEX('Parámetros'!$E$4:$E$8,57),"")</f>
        <v/>
      </c>
      <c r="S64">
        <f>IFERROR(INDEX('Parámetros'!$F$4:$F$7,57),"")</f>
        <v/>
      </c>
      <c r="T64">
        <f>IFERROR(INDEX('Parámetros'!$G$4:$G$6,57),"")</f>
        <v/>
      </c>
    </row>
    <row r="65" ht="32" customHeight="1">
      <c r="A65" s="17" t="n"/>
      <c r="B65" s="35" t="n"/>
      <c r="C65" s="35" t="n"/>
      <c r="D65" s="19" t="n"/>
      <c r="E65" s="17" t="n"/>
      <c r="F65" s="19" t="n"/>
      <c r="G65" s="20" t="n"/>
      <c r="H65" s="36" t="n"/>
      <c r="I65" s="19" t="n"/>
      <c r="J65" s="19" t="n"/>
      <c r="K65" s="17" t="n"/>
      <c r="L65" s="17" t="n"/>
      <c r="M65" s="35" t="n"/>
      <c r="N65" s="36" t="n"/>
      <c r="O65" s="33">
        <f>IF($A65="","",IF(AND(ISNUMBER($H65),ISNUMBER($N65)),$N65-$H65,""))</f>
        <v/>
      </c>
      <c r="P65" s="34">
        <f>IF(OR($A65="",NOT(ISNUMBER($C65))),"",$C65-TODAY())</f>
        <v/>
      </c>
      <c r="Q65" s="25">
        <f>IF($A65="","",IF(OR(NOT(ISNUMBER($B65)),NOT(ISNUMBER($C65))),"Completar fechas",IF(OR($D65="",$E65="",$F65="",$I65="",$J65="",$K65="",$L65="",NOT(ISNUMBER($G65)),NOT(ISNUMBER($H65))),"Completar datos",IF($C65&lt;$B65,"Revisar fechas",IF(AND($L65="Aplicado",NOT(ISNUMBER($M65))),"Falta fecha de aplicación",IF(AND($L65="Aplicado",NOT(ISNUMBER($N65))),"Falta importe final",IF(AND($L65&lt;&gt;"Aplicado",ISNUMBER($M65)),"Revisar fecha de aplicación",IF(AND($K65="Rechazado",$L65&lt;&gt;"Cancelado"),"Revisar estados",IF(AND($H65&gt;=$Y$8,$K65="Pendiente"),"Revisar aprobación",IF(AND($P65&lt;=$Z$8,$P65&gt;=0,$L65="Pendiente"),"Salida próxima: comprobar",IF(AND($P65&lt;0,$L65="Pendiente"),"Salida pasada: comprobar","")))))))))))</f>
        <v/>
      </c>
      <c r="R65">
        <f>IFERROR(INDEX('Parámetros'!$E$4:$E$8,58),"")</f>
        <v/>
      </c>
      <c r="S65">
        <f>IFERROR(INDEX('Parámetros'!$F$4:$F$7,58),"")</f>
        <v/>
      </c>
      <c r="T65">
        <f>IFERROR(INDEX('Parámetros'!$G$4:$G$6,58),"")</f>
        <v/>
      </c>
    </row>
    <row r="66" ht="32" customHeight="1">
      <c r="A66" s="17" t="n"/>
      <c r="B66" s="35" t="n"/>
      <c r="C66" s="35" t="n"/>
      <c r="D66" s="19" t="n"/>
      <c r="E66" s="17" t="n"/>
      <c r="F66" s="19" t="n"/>
      <c r="G66" s="20" t="n"/>
      <c r="H66" s="36" t="n"/>
      <c r="I66" s="19" t="n"/>
      <c r="J66" s="19" t="n"/>
      <c r="K66" s="17" t="n"/>
      <c r="L66" s="17" t="n"/>
      <c r="M66" s="35" t="n"/>
      <c r="N66" s="36" t="n"/>
      <c r="O66" s="37">
        <f>IF($A66="","",IF(AND(ISNUMBER($H66),ISNUMBER($N66)),$N66-$H66,""))</f>
        <v/>
      </c>
      <c r="P66" s="38">
        <f>IF(OR($A66="",NOT(ISNUMBER($C66))),"",$C66-TODAY())</f>
        <v/>
      </c>
      <c r="Q66" s="24">
        <f>IF($A66="","",IF(OR(NOT(ISNUMBER($B66)),NOT(ISNUMBER($C66))),"Completar fechas",IF(OR($D66="",$E66="",$F66="",$I66="",$J66="",$K66="",$L66="",NOT(ISNUMBER($G66)),NOT(ISNUMBER($H66))),"Completar datos",IF($C66&lt;$B66,"Revisar fechas",IF(AND($L66="Aplicado",NOT(ISNUMBER($M66))),"Falta fecha de aplicación",IF(AND($L66="Aplicado",NOT(ISNUMBER($N66))),"Falta importe final",IF(AND($L66&lt;&gt;"Aplicado",ISNUMBER($M66)),"Revisar fecha de aplicación",IF(AND($K66="Rechazado",$L66&lt;&gt;"Cancelado"),"Revisar estados",IF(AND($H66&gt;=$Y$8,$K66="Pendiente"),"Revisar aprobación",IF(AND($P66&lt;=$Z$8,$P66&gt;=0,$L66="Pendiente"),"Salida próxima: comprobar",IF(AND($P66&lt;0,$L66="Pendiente"),"Salida pasada: comprobar","")))))))))))</f>
        <v/>
      </c>
      <c r="R66">
        <f>IFERROR(INDEX('Parámetros'!$E$4:$E$8,59),"")</f>
        <v/>
      </c>
      <c r="S66">
        <f>IFERROR(INDEX('Parámetros'!$F$4:$F$7,59),"")</f>
        <v/>
      </c>
      <c r="T66">
        <f>IFERROR(INDEX('Parámetros'!$G$4:$G$6,59),"")</f>
        <v/>
      </c>
    </row>
    <row r="67" ht="32" customHeight="1">
      <c r="A67" s="17" t="n"/>
      <c r="B67" s="35" t="n"/>
      <c r="C67" s="35" t="n"/>
      <c r="D67" s="19" t="n"/>
      <c r="E67" s="17" t="n"/>
      <c r="F67" s="19" t="n"/>
      <c r="G67" s="20" t="n"/>
      <c r="H67" s="36" t="n"/>
      <c r="I67" s="19" t="n"/>
      <c r="J67" s="19" t="n"/>
      <c r="K67" s="17" t="n"/>
      <c r="L67" s="17" t="n"/>
      <c r="M67" s="35" t="n"/>
      <c r="N67" s="36" t="n"/>
      <c r="O67" s="33">
        <f>IF($A67="","",IF(AND(ISNUMBER($H67),ISNUMBER($N67)),$N67-$H67,""))</f>
        <v/>
      </c>
      <c r="P67" s="34">
        <f>IF(OR($A67="",NOT(ISNUMBER($C67))),"",$C67-TODAY())</f>
        <v/>
      </c>
      <c r="Q67" s="25">
        <f>IF($A67="","",IF(OR(NOT(ISNUMBER($B67)),NOT(ISNUMBER($C67))),"Completar fechas",IF(OR($D67="",$E67="",$F67="",$I67="",$J67="",$K67="",$L67="",NOT(ISNUMBER($G67)),NOT(ISNUMBER($H67))),"Completar datos",IF($C67&lt;$B67,"Revisar fechas",IF(AND($L67="Aplicado",NOT(ISNUMBER($M67))),"Falta fecha de aplicación",IF(AND($L67="Aplicado",NOT(ISNUMBER($N67))),"Falta importe final",IF(AND($L67&lt;&gt;"Aplicado",ISNUMBER($M67)),"Revisar fecha de aplicación",IF(AND($K67="Rechazado",$L67&lt;&gt;"Cancelado"),"Revisar estados",IF(AND($H67&gt;=$Y$8,$K67="Pendiente"),"Revisar aprobación",IF(AND($P67&lt;=$Z$8,$P67&gt;=0,$L67="Pendiente"),"Salida próxima: comprobar",IF(AND($P67&lt;0,$L67="Pendiente"),"Salida pasada: comprobar","")))))))))))</f>
        <v/>
      </c>
      <c r="R67">
        <f>IFERROR(INDEX('Parámetros'!$E$4:$E$8,60),"")</f>
        <v/>
      </c>
      <c r="S67">
        <f>IFERROR(INDEX('Parámetros'!$F$4:$F$7,60),"")</f>
        <v/>
      </c>
      <c r="T67">
        <f>IFERROR(INDEX('Parámetros'!$G$4:$G$6,60),"")</f>
        <v/>
      </c>
    </row>
    <row r="68" ht="32" customHeight="1">
      <c r="A68" s="17" t="n"/>
      <c r="B68" s="35" t="n"/>
      <c r="C68" s="35" t="n"/>
      <c r="D68" s="19" t="n"/>
      <c r="E68" s="17" t="n"/>
      <c r="F68" s="19" t="n"/>
      <c r="G68" s="20" t="n"/>
      <c r="H68" s="36" t="n"/>
      <c r="I68" s="19" t="n"/>
      <c r="J68" s="19" t="n"/>
      <c r="K68" s="17" t="n"/>
      <c r="L68" s="17" t="n"/>
      <c r="M68" s="35" t="n"/>
      <c r="N68" s="36" t="n"/>
      <c r="O68" s="37">
        <f>IF($A68="","",IF(AND(ISNUMBER($H68),ISNUMBER($N68)),$N68-$H68,""))</f>
        <v/>
      </c>
      <c r="P68" s="38">
        <f>IF(OR($A68="",NOT(ISNUMBER($C68))),"",$C68-TODAY())</f>
        <v/>
      </c>
      <c r="Q68" s="24">
        <f>IF($A68="","",IF(OR(NOT(ISNUMBER($B68)),NOT(ISNUMBER($C68))),"Completar fechas",IF(OR($D68="",$E68="",$F68="",$I68="",$J68="",$K68="",$L68="",NOT(ISNUMBER($G68)),NOT(ISNUMBER($H68))),"Completar datos",IF($C68&lt;$B68,"Revisar fechas",IF(AND($L68="Aplicado",NOT(ISNUMBER($M68))),"Falta fecha de aplicación",IF(AND($L68="Aplicado",NOT(ISNUMBER($N68))),"Falta importe final",IF(AND($L68&lt;&gt;"Aplicado",ISNUMBER($M68)),"Revisar fecha de aplicación",IF(AND($K68="Rechazado",$L68&lt;&gt;"Cancelado"),"Revisar estados",IF(AND($H68&gt;=$Y$8,$K68="Pendiente"),"Revisar aprobación",IF(AND($P68&lt;=$Z$8,$P68&gt;=0,$L68="Pendiente"),"Salida próxima: comprobar",IF(AND($P68&lt;0,$L68="Pendiente"),"Salida pasada: comprobar","")))))))))))</f>
        <v/>
      </c>
      <c r="R68">
        <f>IFERROR(INDEX('Parámetros'!$E$4:$E$8,61),"")</f>
        <v/>
      </c>
      <c r="S68">
        <f>IFERROR(INDEX('Parámetros'!$F$4:$F$7,61),"")</f>
        <v/>
      </c>
      <c r="T68">
        <f>IFERROR(INDEX('Parámetros'!$G$4:$G$6,61),"")</f>
        <v/>
      </c>
    </row>
    <row r="69" ht="32" customHeight="1">
      <c r="A69" s="17" t="n"/>
      <c r="B69" s="35" t="n"/>
      <c r="C69" s="35" t="n"/>
      <c r="D69" s="19" t="n"/>
      <c r="E69" s="17" t="n"/>
      <c r="F69" s="19" t="n"/>
      <c r="G69" s="20" t="n"/>
      <c r="H69" s="36" t="n"/>
      <c r="I69" s="19" t="n"/>
      <c r="J69" s="19" t="n"/>
      <c r="K69" s="17" t="n"/>
      <c r="L69" s="17" t="n"/>
      <c r="M69" s="35" t="n"/>
      <c r="N69" s="36" t="n"/>
      <c r="O69" s="33">
        <f>IF($A69="","",IF(AND(ISNUMBER($H69),ISNUMBER($N69)),$N69-$H69,""))</f>
        <v/>
      </c>
      <c r="P69" s="34">
        <f>IF(OR($A69="",NOT(ISNUMBER($C69))),"",$C69-TODAY())</f>
        <v/>
      </c>
      <c r="Q69" s="25">
        <f>IF($A69="","",IF(OR(NOT(ISNUMBER($B69)),NOT(ISNUMBER($C69))),"Completar fechas",IF(OR($D69="",$E69="",$F69="",$I69="",$J69="",$K69="",$L69="",NOT(ISNUMBER($G69)),NOT(ISNUMBER($H69))),"Completar datos",IF($C69&lt;$B69,"Revisar fechas",IF(AND($L69="Aplicado",NOT(ISNUMBER($M69))),"Falta fecha de aplicación",IF(AND($L69="Aplicado",NOT(ISNUMBER($N69))),"Falta importe final",IF(AND($L69&lt;&gt;"Aplicado",ISNUMBER($M69)),"Revisar fecha de aplicación",IF(AND($K69="Rechazado",$L69&lt;&gt;"Cancelado"),"Revisar estados",IF(AND($H69&gt;=$Y$8,$K69="Pendiente"),"Revisar aprobación",IF(AND($P69&lt;=$Z$8,$P69&gt;=0,$L69="Pendiente"),"Salida próxima: comprobar",IF(AND($P69&lt;0,$L69="Pendiente"),"Salida pasada: comprobar","")))))))))))</f>
        <v/>
      </c>
      <c r="R69">
        <f>IFERROR(INDEX('Parámetros'!$E$4:$E$8,62),"")</f>
        <v/>
      </c>
      <c r="S69">
        <f>IFERROR(INDEX('Parámetros'!$F$4:$F$7,62),"")</f>
        <v/>
      </c>
      <c r="T69">
        <f>IFERROR(INDEX('Parámetros'!$G$4:$G$6,62),"")</f>
        <v/>
      </c>
    </row>
    <row r="70" ht="32" customHeight="1">
      <c r="A70" s="17" t="n"/>
      <c r="B70" s="35" t="n"/>
      <c r="C70" s="35" t="n"/>
      <c r="D70" s="19" t="n"/>
      <c r="E70" s="17" t="n"/>
      <c r="F70" s="19" t="n"/>
      <c r="G70" s="20" t="n"/>
      <c r="H70" s="36" t="n"/>
      <c r="I70" s="19" t="n"/>
      <c r="J70" s="19" t="n"/>
      <c r="K70" s="17" t="n"/>
      <c r="L70" s="17" t="n"/>
      <c r="M70" s="35" t="n"/>
      <c r="N70" s="36" t="n"/>
      <c r="O70" s="37">
        <f>IF($A70="","",IF(AND(ISNUMBER($H70),ISNUMBER($N70)),$N70-$H70,""))</f>
        <v/>
      </c>
      <c r="P70" s="38">
        <f>IF(OR($A70="",NOT(ISNUMBER($C70))),"",$C70-TODAY())</f>
        <v/>
      </c>
      <c r="Q70" s="24">
        <f>IF($A70="","",IF(OR(NOT(ISNUMBER($B70)),NOT(ISNUMBER($C70))),"Completar fechas",IF(OR($D70="",$E70="",$F70="",$I70="",$J70="",$K70="",$L70="",NOT(ISNUMBER($G70)),NOT(ISNUMBER($H70))),"Completar datos",IF($C70&lt;$B70,"Revisar fechas",IF(AND($L70="Aplicado",NOT(ISNUMBER($M70))),"Falta fecha de aplicación",IF(AND($L70="Aplicado",NOT(ISNUMBER($N70))),"Falta importe final",IF(AND($L70&lt;&gt;"Aplicado",ISNUMBER($M70)),"Revisar fecha de aplicación",IF(AND($K70="Rechazado",$L70&lt;&gt;"Cancelado"),"Revisar estados",IF(AND($H70&gt;=$Y$8,$K70="Pendiente"),"Revisar aprobación",IF(AND($P70&lt;=$Z$8,$P70&gt;=0,$L70="Pendiente"),"Salida próxima: comprobar",IF(AND($P70&lt;0,$L70="Pendiente"),"Salida pasada: comprobar","")))))))))))</f>
        <v/>
      </c>
      <c r="R70">
        <f>IFERROR(INDEX('Parámetros'!$E$4:$E$8,63),"")</f>
        <v/>
      </c>
      <c r="S70">
        <f>IFERROR(INDEX('Parámetros'!$F$4:$F$7,63),"")</f>
        <v/>
      </c>
      <c r="T70">
        <f>IFERROR(INDEX('Parámetros'!$G$4:$G$6,63),"")</f>
        <v/>
      </c>
    </row>
    <row r="71" ht="32" customHeight="1">
      <c r="A71" s="17" t="n"/>
      <c r="B71" s="35" t="n"/>
      <c r="C71" s="35" t="n"/>
      <c r="D71" s="19" t="n"/>
      <c r="E71" s="17" t="n"/>
      <c r="F71" s="19" t="n"/>
      <c r="G71" s="20" t="n"/>
      <c r="H71" s="36" t="n"/>
      <c r="I71" s="19" t="n"/>
      <c r="J71" s="19" t="n"/>
      <c r="K71" s="17" t="n"/>
      <c r="L71" s="17" t="n"/>
      <c r="M71" s="35" t="n"/>
      <c r="N71" s="36" t="n"/>
      <c r="O71" s="33">
        <f>IF($A71="","",IF(AND(ISNUMBER($H71),ISNUMBER($N71)),$N71-$H71,""))</f>
        <v/>
      </c>
      <c r="P71" s="34">
        <f>IF(OR($A71="",NOT(ISNUMBER($C71))),"",$C71-TODAY())</f>
        <v/>
      </c>
      <c r="Q71" s="25">
        <f>IF($A71="","",IF(OR(NOT(ISNUMBER($B71)),NOT(ISNUMBER($C71))),"Completar fechas",IF(OR($D71="",$E71="",$F71="",$I71="",$J71="",$K71="",$L71="",NOT(ISNUMBER($G71)),NOT(ISNUMBER($H71))),"Completar datos",IF($C71&lt;$B71,"Revisar fechas",IF(AND($L71="Aplicado",NOT(ISNUMBER($M71))),"Falta fecha de aplicación",IF(AND($L71="Aplicado",NOT(ISNUMBER($N71))),"Falta importe final",IF(AND($L71&lt;&gt;"Aplicado",ISNUMBER($M71)),"Revisar fecha de aplicación",IF(AND($K71="Rechazado",$L71&lt;&gt;"Cancelado"),"Revisar estados",IF(AND($H71&gt;=$Y$8,$K71="Pendiente"),"Revisar aprobación",IF(AND($P71&lt;=$Z$8,$P71&gt;=0,$L71="Pendiente"),"Salida próxima: comprobar",IF(AND($P71&lt;0,$L71="Pendiente"),"Salida pasada: comprobar","")))))))))))</f>
        <v/>
      </c>
      <c r="R71">
        <f>IFERROR(INDEX('Parámetros'!$E$4:$E$8,64),"")</f>
        <v/>
      </c>
      <c r="S71">
        <f>IFERROR(INDEX('Parámetros'!$F$4:$F$7,64),"")</f>
        <v/>
      </c>
      <c r="T71">
        <f>IFERROR(INDEX('Parámetros'!$G$4:$G$6,64),"")</f>
        <v/>
      </c>
    </row>
    <row r="72" ht="32" customHeight="1">
      <c r="A72" s="17" t="n"/>
      <c r="B72" s="35" t="n"/>
      <c r="C72" s="35" t="n"/>
      <c r="D72" s="19" t="n"/>
      <c r="E72" s="17" t="n"/>
      <c r="F72" s="19" t="n"/>
      <c r="G72" s="20" t="n"/>
      <c r="H72" s="36" t="n"/>
      <c r="I72" s="19" t="n"/>
      <c r="J72" s="19" t="n"/>
      <c r="K72" s="17" t="n"/>
      <c r="L72" s="17" t="n"/>
      <c r="M72" s="35" t="n"/>
      <c r="N72" s="36" t="n"/>
      <c r="O72" s="37">
        <f>IF($A72="","",IF(AND(ISNUMBER($H72),ISNUMBER($N72)),$N72-$H72,""))</f>
        <v/>
      </c>
      <c r="P72" s="38">
        <f>IF(OR($A72="",NOT(ISNUMBER($C72))),"",$C72-TODAY())</f>
        <v/>
      </c>
      <c r="Q72" s="24">
        <f>IF($A72="","",IF(OR(NOT(ISNUMBER($B72)),NOT(ISNUMBER($C72))),"Completar fechas",IF(OR($D72="",$E72="",$F72="",$I72="",$J72="",$K72="",$L72="",NOT(ISNUMBER($G72)),NOT(ISNUMBER($H72))),"Completar datos",IF($C72&lt;$B72,"Revisar fechas",IF(AND($L72="Aplicado",NOT(ISNUMBER($M72))),"Falta fecha de aplicación",IF(AND($L72="Aplicado",NOT(ISNUMBER($N72))),"Falta importe final",IF(AND($L72&lt;&gt;"Aplicado",ISNUMBER($M72)),"Revisar fecha de aplicación",IF(AND($K72="Rechazado",$L72&lt;&gt;"Cancelado"),"Revisar estados",IF(AND($H72&gt;=$Y$8,$K72="Pendiente"),"Revisar aprobación",IF(AND($P72&lt;=$Z$8,$P72&gt;=0,$L72="Pendiente"),"Salida próxima: comprobar",IF(AND($P72&lt;0,$L72="Pendiente"),"Salida pasada: comprobar","")))))))))))</f>
        <v/>
      </c>
      <c r="R72">
        <f>IFERROR(INDEX('Parámetros'!$E$4:$E$8,65),"")</f>
        <v/>
      </c>
      <c r="S72">
        <f>IFERROR(INDEX('Parámetros'!$F$4:$F$7,65),"")</f>
        <v/>
      </c>
      <c r="T72">
        <f>IFERROR(INDEX('Parámetros'!$G$4:$G$6,65),"")</f>
        <v/>
      </c>
    </row>
    <row r="73" ht="32" customHeight="1">
      <c r="A73" s="17" t="n"/>
      <c r="B73" s="35" t="n"/>
      <c r="C73" s="35" t="n"/>
      <c r="D73" s="19" t="n"/>
      <c r="E73" s="17" t="n"/>
      <c r="F73" s="19" t="n"/>
      <c r="G73" s="20" t="n"/>
      <c r="H73" s="36" t="n"/>
      <c r="I73" s="19" t="n"/>
      <c r="J73" s="19" t="n"/>
      <c r="K73" s="17" t="n"/>
      <c r="L73" s="17" t="n"/>
      <c r="M73" s="35" t="n"/>
      <c r="N73" s="36" t="n"/>
      <c r="O73" s="33">
        <f>IF($A73="","",IF(AND(ISNUMBER($H73),ISNUMBER($N73)),$N73-$H73,""))</f>
        <v/>
      </c>
      <c r="P73" s="34">
        <f>IF(OR($A73="",NOT(ISNUMBER($C73))),"",$C73-TODAY())</f>
        <v/>
      </c>
      <c r="Q73" s="25">
        <f>IF($A73="","",IF(OR(NOT(ISNUMBER($B73)),NOT(ISNUMBER($C73))),"Completar fechas",IF(OR($D73="",$E73="",$F73="",$I73="",$J73="",$K73="",$L73="",NOT(ISNUMBER($G73)),NOT(ISNUMBER($H73))),"Completar datos",IF($C73&lt;$B73,"Revisar fechas",IF(AND($L73="Aplicado",NOT(ISNUMBER($M73))),"Falta fecha de aplicación",IF(AND($L73="Aplicado",NOT(ISNUMBER($N73))),"Falta importe final",IF(AND($L73&lt;&gt;"Aplicado",ISNUMBER($M73)),"Revisar fecha de aplicación",IF(AND($K73="Rechazado",$L73&lt;&gt;"Cancelado"),"Revisar estados",IF(AND($H73&gt;=$Y$8,$K73="Pendiente"),"Revisar aprobación",IF(AND($P73&lt;=$Z$8,$P73&gt;=0,$L73="Pendiente"),"Salida próxima: comprobar",IF(AND($P73&lt;0,$L73="Pendiente"),"Salida pasada: comprobar","")))))))))))</f>
        <v/>
      </c>
      <c r="R73">
        <f>IFERROR(INDEX('Parámetros'!$E$4:$E$8,66),"")</f>
        <v/>
      </c>
      <c r="S73">
        <f>IFERROR(INDEX('Parámetros'!$F$4:$F$7,66),"")</f>
        <v/>
      </c>
      <c r="T73">
        <f>IFERROR(INDEX('Parámetros'!$G$4:$G$6,66),"")</f>
        <v/>
      </c>
    </row>
    <row r="74" ht="32" customHeight="1">
      <c r="A74" s="17" t="n"/>
      <c r="B74" s="35" t="n"/>
      <c r="C74" s="35" t="n"/>
      <c r="D74" s="19" t="n"/>
      <c r="E74" s="17" t="n"/>
      <c r="F74" s="19" t="n"/>
      <c r="G74" s="20" t="n"/>
      <c r="H74" s="36" t="n"/>
      <c r="I74" s="19" t="n"/>
      <c r="J74" s="19" t="n"/>
      <c r="K74" s="17" t="n"/>
      <c r="L74" s="17" t="n"/>
      <c r="M74" s="35" t="n"/>
      <c r="N74" s="36" t="n"/>
      <c r="O74" s="37">
        <f>IF($A74="","",IF(AND(ISNUMBER($H74),ISNUMBER($N74)),$N74-$H74,""))</f>
        <v/>
      </c>
      <c r="P74" s="38">
        <f>IF(OR($A74="",NOT(ISNUMBER($C74))),"",$C74-TODAY())</f>
        <v/>
      </c>
      <c r="Q74" s="24">
        <f>IF($A74="","",IF(OR(NOT(ISNUMBER($B74)),NOT(ISNUMBER($C74))),"Completar fechas",IF(OR($D74="",$E74="",$F74="",$I74="",$J74="",$K74="",$L74="",NOT(ISNUMBER($G74)),NOT(ISNUMBER($H74))),"Completar datos",IF($C74&lt;$B74,"Revisar fechas",IF(AND($L74="Aplicado",NOT(ISNUMBER($M74))),"Falta fecha de aplicación",IF(AND($L74="Aplicado",NOT(ISNUMBER($N74))),"Falta importe final",IF(AND($L74&lt;&gt;"Aplicado",ISNUMBER($M74)),"Revisar fecha de aplicación",IF(AND($K74="Rechazado",$L74&lt;&gt;"Cancelado"),"Revisar estados",IF(AND($H74&gt;=$Y$8,$K74="Pendiente"),"Revisar aprobación",IF(AND($P74&lt;=$Z$8,$P74&gt;=0,$L74="Pendiente"),"Salida próxima: comprobar",IF(AND($P74&lt;0,$L74="Pendiente"),"Salida pasada: comprobar","")))))))))))</f>
        <v/>
      </c>
      <c r="R74">
        <f>IFERROR(INDEX('Parámetros'!$E$4:$E$8,67),"")</f>
        <v/>
      </c>
      <c r="S74">
        <f>IFERROR(INDEX('Parámetros'!$F$4:$F$7,67),"")</f>
        <v/>
      </c>
      <c r="T74">
        <f>IFERROR(INDEX('Parámetros'!$G$4:$G$6,67),"")</f>
        <v/>
      </c>
    </row>
    <row r="75" ht="32" customHeight="1">
      <c r="A75" s="17" t="n"/>
      <c r="B75" s="35" t="n"/>
      <c r="C75" s="35" t="n"/>
      <c r="D75" s="19" t="n"/>
      <c r="E75" s="17" t="n"/>
      <c r="F75" s="19" t="n"/>
      <c r="G75" s="20" t="n"/>
      <c r="H75" s="36" t="n"/>
      <c r="I75" s="19" t="n"/>
      <c r="J75" s="19" t="n"/>
      <c r="K75" s="17" t="n"/>
      <c r="L75" s="17" t="n"/>
      <c r="M75" s="35" t="n"/>
      <c r="N75" s="36" t="n"/>
      <c r="O75" s="33">
        <f>IF($A75="","",IF(AND(ISNUMBER($H75),ISNUMBER($N75)),$N75-$H75,""))</f>
        <v/>
      </c>
      <c r="P75" s="34">
        <f>IF(OR($A75="",NOT(ISNUMBER($C75))),"",$C75-TODAY())</f>
        <v/>
      </c>
      <c r="Q75" s="25">
        <f>IF($A75="","",IF(OR(NOT(ISNUMBER($B75)),NOT(ISNUMBER($C75))),"Completar fechas",IF(OR($D75="",$E75="",$F75="",$I75="",$J75="",$K75="",$L75="",NOT(ISNUMBER($G75)),NOT(ISNUMBER($H75))),"Completar datos",IF($C75&lt;$B75,"Revisar fechas",IF(AND($L75="Aplicado",NOT(ISNUMBER($M75))),"Falta fecha de aplicación",IF(AND($L75="Aplicado",NOT(ISNUMBER($N75))),"Falta importe final",IF(AND($L75&lt;&gt;"Aplicado",ISNUMBER($M75)),"Revisar fecha de aplicación",IF(AND($K75="Rechazado",$L75&lt;&gt;"Cancelado"),"Revisar estados",IF(AND($H75&gt;=$Y$8,$K75="Pendiente"),"Revisar aprobación",IF(AND($P75&lt;=$Z$8,$P75&gt;=0,$L75="Pendiente"),"Salida próxima: comprobar",IF(AND($P75&lt;0,$L75="Pendiente"),"Salida pasada: comprobar","")))))))))))</f>
        <v/>
      </c>
      <c r="R75">
        <f>IFERROR(INDEX('Parámetros'!$E$4:$E$8,68),"")</f>
        <v/>
      </c>
      <c r="S75">
        <f>IFERROR(INDEX('Parámetros'!$F$4:$F$7,68),"")</f>
        <v/>
      </c>
      <c r="T75">
        <f>IFERROR(INDEX('Parámetros'!$G$4:$G$6,68),"")</f>
        <v/>
      </c>
    </row>
    <row r="76" ht="32" customHeight="1">
      <c r="A76" s="17" t="n"/>
      <c r="B76" s="35" t="n"/>
      <c r="C76" s="35" t="n"/>
      <c r="D76" s="19" t="n"/>
      <c r="E76" s="17" t="n"/>
      <c r="F76" s="19" t="n"/>
      <c r="G76" s="20" t="n"/>
      <c r="H76" s="36" t="n"/>
      <c r="I76" s="19" t="n"/>
      <c r="J76" s="19" t="n"/>
      <c r="K76" s="17" t="n"/>
      <c r="L76" s="17" t="n"/>
      <c r="M76" s="35" t="n"/>
      <c r="N76" s="36" t="n"/>
      <c r="O76" s="37">
        <f>IF($A76="","",IF(AND(ISNUMBER($H76),ISNUMBER($N76)),$N76-$H76,""))</f>
        <v/>
      </c>
      <c r="P76" s="38">
        <f>IF(OR($A76="",NOT(ISNUMBER($C76))),"",$C76-TODAY())</f>
        <v/>
      </c>
      <c r="Q76" s="24">
        <f>IF($A76="","",IF(OR(NOT(ISNUMBER($B76)),NOT(ISNUMBER($C76))),"Completar fechas",IF(OR($D76="",$E76="",$F76="",$I76="",$J76="",$K76="",$L76="",NOT(ISNUMBER($G76)),NOT(ISNUMBER($H76))),"Completar datos",IF($C76&lt;$B76,"Revisar fechas",IF(AND($L76="Aplicado",NOT(ISNUMBER($M76))),"Falta fecha de aplicación",IF(AND($L76="Aplicado",NOT(ISNUMBER($N76))),"Falta importe final",IF(AND($L76&lt;&gt;"Aplicado",ISNUMBER($M76)),"Revisar fecha de aplicación",IF(AND($K76="Rechazado",$L76&lt;&gt;"Cancelado"),"Revisar estados",IF(AND($H76&gt;=$Y$8,$K76="Pendiente"),"Revisar aprobación",IF(AND($P76&lt;=$Z$8,$P76&gt;=0,$L76="Pendiente"),"Salida próxima: comprobar",IF(AND($P76&lt;0,$L76="Pendiente"),"Salida pasada: comprobar","")))))))))))</f>
        <v/>
      </c>
      <c r="R76">
        <f>IFERROR(INDEX('Parámetros'!$E$4:$E$8,69),"")</f>
        <v/>
      </c>
      <c r="S76">
        <f>IFERROR(INDEX('Parámetros'!$F$4:$F$7,69),"")</f>
        <v/>
      </c>
      <c r="T76">
        <f>IFERROR(INDEX('Parámetros'!$G$4:$G$6,69),"")</f>
        <v/>
      </c>
    </row>
    <row r="77" ht="32" customHeight="1">
      <c r="A77" s="17" t="n"/>
      <c r="B77" s="35" t="n"/>
      <c r="C77" s="35" t="n"/>
      <c r="D77" s="19" t="n"/>
      <c r="E77" s="17" t="n"/>
      <c r="F77" s="19" t="n"/>
      <c r="G77" s="20" t="n"/>
      <c r="H77" s="36" t="n"/>
      <c r="I77" s="19" t="n"/>
      <c r="J77" s="19" t="n"/>
      <c r="K77" s="17" t="n"/>
      <c r="L77" s="17" t="n"/>
      <c r="M77" s="35" t="n"/>
      <c r="N77" s="36" t="n"/>
      <c r="O77" s="33">
        <f>IF($A77="","",IF(AND(ISNUMBER($H77),ISNUMBER($N77)),$N77-$H77,""))</f>
        <v/>
      </c>
      <c r="P77" s="34">
        <f>IF(OR($A77="",NOT(ISNUMBER($C77))),"",$C77-TODAY())</f>
        <v/>
      </c>
      <c r="Q77" s="25">
        <f>IF($A77="","",IF(OR(NOT(ISNUMBER($B77)),NOT(ISNUMBER($C77))),"Completar fechas",IF(OR($D77="",$E77="",$F77="",$I77="",$J77="",$K77="",$L77="",NOT(ISNUMBER($G77)),NOT(ISNUMBER($H77))),"Completar datos",IF($C77&lt;$B77,"Revisar fechas",IF(AND($L77="Aplicado",NOT(ISNUMBER($M77))),"Falta fecha de aplicación",IF(AND($L77="Aplicado",NOT(ISNUMBER($N77))),"Falta importe final",IF(AND($L77&lt;&gt;"Aplicado",ISNUMBER($M77)),"Revisar fecha de aplicación",IF(AND($K77="Rechazado",$L77&lt;&gt;"Cancelado"),"Revisar estados",IF(AND($H77&gt;=$Y$8,$K77="Pendiente"),"Revisar aprobación",IF(AND($P77&lt;=$Z$8,$P77&gt;=0,$L77="Pendiente"),"Salida próxima: comprobar",IF(AND($P77&lt;0,$L77="Pendiente"),"Salida pasada: comprobar","")))))))))))</f>
        <v/>
      </c>
      <c r="R77">
        <f>IFERROR(INDEX('Parámetros'!$E$4:$E$8,70),"")</f>
        <v/>
      </c>
      <c r="S77">
        <f>IFERROR(INDEX('Parámetros'!$F$4:$F$7,70),"")</f>
        <v/>
      </c>
      <c r="T77">
        <f>IFERROR(INDEX('Parámetros'!$G$4:$G$6,70),"")</f>
        <v/>
      </c>
    </row>
    <row r="78" ht="32" customHeight="1">
      <c r="A78" s="17" t="n"/>
      <c r="B78" s="35" t="n"/>
      <c r="C78" s="35" t="n"/>
      <c r="D78" s="19" t="n"/>
      <c r="E78" s="17" t="n"/>
      <c r="F78" s="19" t="n"/>
      <c r="G78" s="20" t="n"/>
      <c r="H78" s="36" t="n"/>
      <c r="I78" s="19" t="n"/>
      <c r="J78" s="19" t="n"/>
      <c r="K78" s="17" t="n"/>
      <c r="L78" s="17" t="n"/>
      <c r="M78" s="35" t="n"/>
      <c r="N78" s="36" t="n"/>
      <c r="O78" s="37">
        <f>IF($A78="","",IF(AND(ISNUMBER($H78),ISNUMBER($N78)),$N78-$H78,""))</f>
        <v/>
      </c>
      <c r="P78" s="38">
        <f>IF(OR($A78="",NOT(ISNUMBER($C78))),"",$C78-TODAY())</f>
        <v/>
      </c>
      <c r="Q78" s="24">
        <f>IF($A78="","",IF(OR(NOT(ISNUMBER($B78)),NOT(ISNUMBER($C78))),"Completar fechas",IF(OR($D78="",$E78="",$F78="",$I78="",$J78="",$K78="",$L78="",NOT(ISNUMBER($G78)),NOT(ISNUMBER($H78))),"Completar datos",IF($C78&lt;$B78,"Revisar fechas",IF(AND($L78="Aplicado",NOT(ISNUMBER($M78))),"Falta fecha de aplicación",IF(AND($L78="Aplicado",NOT(ISNUMBER($N78))),"Falta importe final",IF(AND($L78&lt;&gt;"Aplicado",ISNUMBER($M78)),"Revisar fecha de aplicación",IF(AND($K78="Rechazado",$L78&lt;&gt;"Cancelado"),"Revisar estados",IF(AND($H78&gt;=$Y$8,$K78="Pendiente"),"Revisar aprobación",IF(AND($P78&lt;=$Z$8,$P78&gt;=0,$L78="Pendiente"),"Salida próxima: comprobar",IF(AND($P78&lt;0,$L78="Pendiente"),"Salida pasada: comprobar","")))))))))))</f>
        <v/>
      </c>
      <c r="R78">
        <f>IFERROR(INDEX('Parámetros'!$E$4:$E$8,71),"")</f>
        <v/>
      </c>
      <c r="S78">
        <f>IFERROR(INDEX('Parámetros'!$F$4:$F$7,71),"")</f>
        <v/>
      </c>
      <c r="T78">
        <f>IFERROR(INDEX('Parámetros'!$G$4:$G$6,71),"")</f>
        <v/>
      </c>
    </row>
    <row r="79" ht="32" customHeight="1">
      <c r="A79" s="17" t="n"/>
      <c r="B79" s="35" t="n"/>
      <c r="C79" s="35" t="n"/>
      <c r="D79" s="19" t="n"/>
      <c r="E79" s="17" t="n"/>
      <c r="F79" s="19" t="n"/>
      <c r="G79" s="20" t="n"/>
      <c r="H79" s="36" t="n"/>
      <c r="I79" s="19" t="n"/>
      <c r="J79" s="19" t="n"/>
      <c r="K79" s="17" t="n"/>
      <c r="L79" s="17" t="n"/>
      <c r="M79" s="35" t="n"/>
      <c r="N79" s="36" t="n"/>
      <c r="O79" s="33">
        <f>IF($A79="","",IF(AND(ISNUMBER($H79),ISNUMBER($N79)),$N79-$H79,""))</f>
        <v/>
      </c>
      <c r="P79" s="34">
        <f>IF(OR($A79="",NOT(ISNUMBER($C79))),"",$C79-TODAY())</f>
        <v/>
      </c>
      <c r="Q79" s="25">
        <f>IF($A79="","",IF(OR(NOT(ISNUMBER($B79)),NOT(ISNUMBER($C79))),"Completar fechas",IF(OR($D79="",$E79="",$F79="",$I79="",$J79="",$K79="",$L79="",NOT(ISNUMBER($G79)),NOT(ISNUMBER($H79))),"Completar datos",IF($C79&lt;$B79,"Revisar fechas",IF(AND($L79="Aplicado",NOT(ISNUMBER($M79))),"Falta fecha de aplicación",IF(AND($L79="Aplicado",NOT(ISNUMBER($N79))),"Falta importe final",IF(AND($L79&lt;&gt;"Aplicado",ISNUMBER($M79)),"Revisar fecha de aplicación",IF(AND($K79="Rechazado",$L79&lt;&gt;"Cancelado"),"Revisar estados",IF(AND($H79&gt;=$Y$8,$K79="Pendiente"),"Revisar aprobación",IF(AND($P79&lt;=$Z$8,$P79&gt;=0,$L79="Pendiente"),"Salida próxima: comprobar",IF(AND($P79&lt;0,$L79="Pendiente"),"Salida pasada: comprobar","")))))))))))</f>
        <v/>
      </c>
      <c r="R79">
        <f>IFERROR(INDEX('Parámetros'!$E$4:$E$8,72),"")</f>
        <v/>
      </c>
      <c r="S79">
        <f>IFERROR(INDEX('Parámetros'!$F$4:$F$7,72),"")</f>
        <v/>
      </c>
      <c r="T79">
        <f>IFERROR(INDEX('Parámetros'!$G$4:$G$6,72),"")</f>
        <v/>
      </c>
    </row>
    <row r="80" ht="32" customHeight="1">
      <c r="A80" s="17" t="n"/>
      <c r="B80" s="35" t="n"/>
      <c r="C80" s="35" t="n"/>
      <c r="D80" s="19" t="n"/>
      <c r="E80" s="17" t="n"/>
      <c r="F80" s="19" t="n"/>
      <c r="G80" s="20" t="n"/>
      <c r="H80" s="36" t="n"/>
      <c r="I80" s="19" t="n"/>
      <c r="J80" s="19" t="n"/>
      <c r="K80" s="17" t="n"/>
      <c r="L80" s="17" t="n"/>
      <c r="M80" s="35" t="n"/>
      <c r="N80" s="36" t="n"/>
      <c r="O80" s="37">
        <f>IF($A80="","",IF(AND(ISNUMBER($H80),ISNUMBER($N80)),$N80-$H80,""))</f>
        <v/>
      </c>
      <c r="P80" s="38">
        <f>IF(OR($A80="",NOT(ISNUMBER($C80))),"",$C80-TODAY())</f>
        <v/>
      </c>
      <c r="Q80" s="24">
        <f>IF($A80="","",IF(OR(NOT(ISNUMBER($B80)),NOT(ISNUMBER($C80))),"Completar fechas",IF(OR($D80="",$E80="",$F80="",$I80="",$J80="",$K80="",$L80="",NOT(ISNUMBER($G80)),NOT(ISNUMBER($H80))),"Completar datos",IF($C80&lt;$B80,"Revisar fechas",IF(AND($L80="Aplicado",NOT(ISNUMBER($M80))),"Falta fecha de aplicación",IF(AND($L80="Aplicado",NOT(ISNUMBER($N80))),"Falta importe final",IF(AND($L80&lt;&gt;"Aplicado",ISNUMBER($M80)),"Revisar fecha de aplicación",IF(AND($K80="Rechazado",$L80&lt;&gt;"Cancelado"),"Revisar estados",IF(AND($H80&gt;=$Y$8,$K80="Pendiente"),"Revisar aprobación",IF(AND($P80&lt;=$Z$8,$P80&gt;=0,$L80="Pendiente"),"Salida próxima: comprobar",IF(AND($P80&lt;0,$L80="Pendiente"),"Salida pasada: comprobar","")))))))))))</f>
        <v/>
      </c>
      <c r="R80">
        <f>IFERROR(INDEX('Parámetros'!$E$4:$E$8,73),"")</f>
        <v/>
      </c>
      <c r="S80">
        <f>IFERROR(INDEX('Parámetros'!$F$4:$F$7,73),"")</f>
        <v/>
      </c>
      <c r="T80">
        <f>IFERROR(INDEX('Parámetros'!$G$4:$G$6,73),"")</f>
        <v/>
      </c>
    </row>
    <row r="81" ht="32" customHeight="1">
      <c r="A81" s="17" t="n"/>
      <c r="B81" s="35" t="n"/>
      <c r="C81" s="35" t="n"/>
      <c r="D81" s="19" t="n"/>
      <c r="E81" s="17" t="n"/>
      <c r="F81" s="19" t="n"/>
      <c r="G81" s="20" t="n"/>
      <c r="H81" s="36" t="n"/>
      <c r="I81" s="19" t="n"/>
      <c r="J81" s="19" t="n"/>
      <c r="K81" s="17" t="n"/>
      <c r="L81" s="17" t="n"/>
      <c r="M81" s="35" t="n"/>
      <c r="N81" s="36" t="n"/>
      <c r="O81" s="33">
        <f>IF($A81="","",IF(AND(ISNUMBER($H81),ISNUMBER($N81)),$N81-$H81,""))</f>
        <v/>
      </c>
      <c r="P81" s="34">
        <f>IF(OR($A81="",NOT(ISNUMBER($C81))),"",$C81-TODAY())</f>
        <v/>
      </c>
      <c r="Q81" s="25">
        <f>IF($A81="","",IF(OR(NOT(ISNUMBER($B81)),NOT(ISNUMBER($C81))),"Completar fechas",IF(OR($D81="",$E81="",$F81="",$I81="",$J81="",$K81="",$L81="",NOT(ISNUMBER($G81)),NOT(ISNUMBER($H81))),"Completar datos",IF($C81&lt;$B81,"Revisar fechas",IF(AND($L81="Aplicado",NOT(ISNUMBER($M81))),"Falta fecha de aplicación",IF(AND($L81="Aplicado",NOT(ISNUMBER($N81))),"Falta importe final",IF(AND($L81&lt;&gt;"Aplicado",ISNUMBER($M81)),"Revisar fecha de aplicación",IF(AND($K81="Rechazado",$L81&lt;&gt;"Cancelado"),"Revisar estados",IF(AND($H81&gt;=$Y$8,$K81="Pendiente"),"Revisar aprobación",IF(AND($P81&lt;=$Z$8,$P81&gt;=0,$L81="Pendiente"),"Salida próxima: comprobar",IF(AND($P81&lt;0,$L81="Pendiente"),"Salida pasada: comprobar","")))))))))))</f>
        <v/>
      </c>
      <c r="R81">
        <f>IFERROR(INDEX('Parámetros'!$E$4:$E$8,74),"")</f>
        <v/>
      </c>
      <c r="S81">
        <f>IFERROR(INDEX('Parámetros'!$F$4:$F$7,74),"")</f>
        <v/>
      </c>
      <c r="T81">
        <f>IFERROR(INDEX('Parámetros'!$G$4:$G$6,74),"")</f>
        <v/>
      </c>
    </row>
    <row r="82" ht="32" customHeight="1">
      <c r="A82" s="17" t="n"/>
      <c r="B82" s="35" t="n"/>
      <c r="C82" s="35" t="n"/>
      <c r="D82" s="19" t="n"/>
      <c r="E82" s="17" t="n"/>
      <c r="F82" s="19" t="n"/>
      <c r="G82" s="20" t="n"/>
      <c r="H82" s="36" t="n"/>
      <c r="I82" s="19" t="n"/>
      <c r="J82" s="19" t="n"/>
      <c r="K82" s="17" t="n"/>
      <c r="L82" s="17" t="n"/>
      <c r="M82" s="35" t="n"/>
      <c r="N82" s="36" t="n"/>
      <c r="O82" s="37">
        <f>IF($A82="","",IF(AND(ISNUMBER($H82),ISNUMBER($N82)),$N82-$H82,""))</f>
        <v/>
      </c>
      <c r="P82" s="38">
        <f>IF(OR($A82="",NOT(ISNUMBER($C82))),"",$C82-TODAY())</f>
        <v/>
      </c>
      <c r="Q82" s="24">
        <f>IF($A82="","",IF(OR(NOT(ISNUMBER($B82)),NOT(ISNUMBER($C82))),"Completar fechas",IF(OR($D82="",$E82="",$F82="",$I82="",$J82="",$K82="",$L82="",NOT(ISNUMBER($G82)),NOT(ISNUMBER($H82))),"Completar datos",IF($C82&lt;$B82,"Revisar fechas",IF(AND($L82="Aplicado",NOT(ISNUMBER($M82))),"Falta fecha de aplicación",IF(AND($L82="Aplicado",NOT(ISNUMBER($N82))),"Falta importe final",IF(AND($L82&lt;&gt;"Aplicado",ISNUMBER($M82)),"Revisar fecha de aplicación",IF(AND($K82="Rechazado",$L82&lt;&gt;"Cancelado"),"Revisar estados",IF(AND($H82&gt;=$Y$8,$K82="Pendiente"),"Revisar aprobación",IF(AND($P82&lt;=$Z$8,$P82&gt;=0,$L82="Pendiente"),"Salida próxima: comprobar",IF(AND($P82&lt;0,$L82="Pendiente"),"Salida pasada: comprobar","")))))))))))</f>
        <v/>
      </c>
      <c r="R82">
        <f>IFERROR(INDEX('Parámetros'!$E$4:$E$8,75),"")</f>
        <v/>
      </c>
      <c r="S82">
        <f>IFERROR(INDEX('Parámetros'!$F$4:$F$7,75),"")</f>
        <v/>
      </c>
      <c r="T82">
        <f>IFERROR(INDEX('Parámetros'!$G$4:$G$6,75),"")</f>
        <v/>
      </c>
    </row>
    <row r="83" ht="32" customHeight="1">
      <c r="A83" s="17" t="n"/>
      <c r="B83" s="35" t="n"/>
      <c r="C83" s="35" t="n"/>
      <c r="D83" s="19" t="n"/>
      <c r="E83" s="17" t="n"/>
      <c r="F83" s="19" t="n"/>
      <c r="G83" s="20" t="n"/>
      <c r="H83" s="36" t="n"/>
      <c r="I83" s="19" t="n"/>
      <c r="J83" s="19" t="n"/>
      <c r="K83" s="17" t="n"/>
      <c r="L83" s="17" t="n"/>
      <c r="M83" s="35" t="n"/>
      <c r="N83" s="36" t="n"/>
      <c r="O83" s="33">
        <f>IF($A83="","",IF(AND(ISNUMBER($H83),ISNUMBER($N83)),$N83-$H83,""))</f>
        <v/>
      </c>
      <c r="P83" s="34">
        <f>IF(OR($A83="",NOT(ISNUMBER($C83))),"",$C83-TODAY())</f>
        <v/>
      </c>
      <c r="Q83" s="25">
        <f>IF($A83="","",IF(OR(NOT(ISNUMBER($B83)),NOT(ISNUMBER($C83))),"Completar fechas",IF(OR($D83="",$E83="",$F83="",$I83="",$J83="",$K83="",$L83="",NOT(ISNUMBER($G83)),NOT(ISNUMBER($H83))),"Completar datos",IF($C83&lt;$B83,"Revisar fechas",IF(AND($L83="Aplicado",NOT(ISNUMBER($M83))),"Falta fecha de aplicación",IF(AND($L83="Aplicado",NOT(ISNUMBER($N83))),"Falta importe final",IF(AND($L83&lt;&gt;"Aplicado",ISNUMBER($M83)),"Revisar fecha de aplicación",IF(AND($K83="Rechazado",$L83&lt;&gt;"Cancelado"),"Revisar estados",IF(AND($H83&gt;=$Y$8,$K83="Pendiente"),"Revisar aprobación",IF(AND($P83&lt;=$Z$8,$P83&gt;=0,$L83="Pendiente"),"Salida próxima: comprobar",IF(AND($P83&lt;0,$L83="Pendiente"),"Salida pasada: comprobar","")))))))))))</f>
        <v/>
      </c>
      <c r="R83">
        <f>IFERROR(INDEX('Parámetros'!$E$4:$E$8,76),"")</f>
        <v/>
      </c>
      <c r="S83">
        <f>IFERROR(INDEX('Parámetros'!$F$4:$F$7,76),"")</f>
        <v/>
      </c>
      <c r="T83">
        <f>IFERROR(INDEX('Parámetros'!$G$4:$G$6,76),"")</f>
        <v/>
      </c>
    </row>
    <row r="84" ht="32" customHeight="1">
      <c r="A84" s="17" t="n"/>
      <c r="B84" s="35" t="n"/>
      <c r="C84" s="35" t="n"/>
      <c r="D84" s="19" t="n"/>
      <c r="E84" s="17" t="n"/>
      <c r="F84" s="19" t="n"/>
      <c r="G84" s="20" t="n"/>
      <c r="H84" s="36" t="n"/>
      <c r="I84" s="19" t="n"/>
      <c r="J84" s="19" t="n"/>
      <c r="K84" s="17" t="n"/>
      <c r="L84" s="17" t="n"/>
      <c r="M84" s="35" t="n"/>
      <c r="N84" s="36" t="n"/>
      <c r="O84" s="37">
        <f>IF($A84="","",IF(AND(ISNUMBER($H84),ISNUMBER($N84)),$N84-$H84,""))</f>
        <v/>
      </c>
      <c r="P84" s="38">
        <f>IF(OR($A84="",NOT(ISNUMBER($C84))),"",$C84-TODAY())</f>
        <v/>
      </c>
      <c r="Q84" s="24">
        <f>IF($A84="","",IF(OR(NOT(ISNUMBER($B84)),NOT(ISNUMBER($C84))),"Completar fechas",IF(OR($D84="",$E84="",$F84="",$I84="",$J84="",$K84="",$L84="",NOT(ISNUMBER($G84)),NOT(ISNUMBER($H84))),"Completar datos",IF($C84&lt;$B84,"Revisar fechas",IF(AND($L84="Aplicado",NOT(ISNUMBER($M84))),"Falta fecha de aplicación",IF(AND($L84="Aplicado",NOT(ISNUMBER($N84))),"Falta importe final",IF(AND($L84&lt;&gt;"Aplicado",ISNUMBER($M84)),"Revisar fecha de aplicación",IF(AND($K84="Rechazado",$L84&lt;&gt;"Cancelado"),"Revisar estados",IF(AND($H84&gt;=$Y$8,$K84="Pendiente"),"Revisar aprobación",IF(AND($P84&lt;=$Z$8,$P84&gt;=0,$L84="Pendiente"),"Salida próxima: comprobar",IF(AND($P84&lt;0,$L84="Pendiente"),"Salida pasada: comprobar","")))))))))))</f>
        <v/>
      </c>
      <c r="R84">
        <f>IFERROR(INDEX('Parámetros'!$E$4:$E$8,77),"")</f>
        <v/>
      </c>
      <c r="S84">
        <f>IFERROR(INDEX('Parámetros'!$F$4:$F$7,77),"")</f>
        <v/>
      </c>
      <c r="T84">
        <f>IFERROR(INDEX('Parámetros'!$G$4:$G$6,77),"")</f>
        <v/>
      </c>
    </row>
    <row r="85" ht="32" customHeight="1">
      <c r="A85" s="17" t="n"/>
      <c r="B85" s="35" t="n"/>
      <c r="C85" s="35" t="n"/>
      <c r="D85" s="19" t="n"/>
      <c r="E85" s="17" t="n"/>
      <c r="F85" s="19" t="n"/>
      <c r="G85" s="20" t="n"/>
      <c r="H85" s="36" t="n"/>
      <c r="I85" s="19" t="n"/>
      <c r="J85" s="19" t="n"/>
      <c r="K85" s="17" t="n"/>
      <c r="L85" s="17" t="n"/>
      <c r="M85" s="35" t="n"/>
      <c r="N85" s="36" t="n"/>
      <c r="O85" s="33">
        <f>IF($A85="","",IF(AND(ISNUMBER($H85),ISNUMBER($N85)),$N85-$H85,""))</f>
        <v/>
      </c>
      <c r="P85" s="34">
        <f>IF(OR($A85="",NOT(ISNUMBER($C85))),"",$C85-TODAY())</f>
        <v/>
      </c>
      <c r="Q85" s="25">
        <f>IF($A85="","",IF(OR(NOT(ISNUMBER($B85)),NOT(ISNUMBER($C85))),"Completar fechas",IF(OR($D85="",$E85="",$F85="",$I85="",$J85="",$K85="",$L85="",NOT(ISNUMBER($G85)),NOT(ISNUMBER($H85))),"Completar datos",IF($C85&lt;$B85,"Revisar fechas",IF(AND($L85="Aplicado",NOT(ISNUMBER($M85))),"Falta fecha de aplicación",IF(AND($L85="Aplicado",NOT(ISNUMBER($N85))),"Falta importe final",IF(AND($L85&lt;&gt;"Aplicado",ISNUMBER($M85)),"Revisar fecha de aplicación",IF(AND($K85="Rechazado",$L85&lt;&gt;"Cancelado"),"Revisar estados",IF(AND($H85&gt;=$Y$8,$K85="Pendiente"),"Revisar aprobación",IF(AND($P85&lt;=$Z$8,$P85&gt;=0,$L85="Pendiente"),"Salida próxima: comprobar",IF(AND($P85&lt;0,$L85="Pendiente"),"Salida pasada: comprobar","")))))))))))</f>
        <v/>
      </c>
      <c r="R85">
        <f>IFERROR(INDEX('Parámetros'!$E$4:$E$8,78),"")</f>
        <v/>
      </c>
      <c r="S85">
        <f>IFERROR(INDEX('Parámetros'!$F$4:$F$7,78),"")</f>
        <v/>
      </c>
      <c r="T85">
        <f>IFERROR(INDEX('Parámetros'!$G$4:$G$6,78),"")</f>
        <v/>
      </c>
    </row>
    <row r="86" ht="32" customHeight="1">
      <c r="A86" s="17" t="n"/>
      <c r="B86" s="35" t="n"/>
      <c r="C86" s="35" t="n"/>
      <c r="D86" s="19" t="n"/>
      <c r="E86" s="17" t="n"/>
      <c r="F86" s="19" t="n"/>
      <c r="G86" s="20" t="n"/>
      <c r="H86" s="36" t="n"/>
      <c r="I86" s="19" t="n"/>
      <c r="J86" s="19" t="n"/>
      <c r="K86" s="17" t="n"/>
      <c r="L86" s="17" t="n"/>
      <c r="M86" s="35" t="n"/>
      <c r="N86" s="36" t="n"/>
      <c r="O86" s="37">
        <f>IF($A86="","",IF(AND(ISNUMBER($H86),ISNUMBER($N86)),$N86-$H86,""))</f>
        <v/>
      </c>
      <c r="P86" s="38">
        <f>IF(OR($A86="",NOT(ISNUMBER($C86))),"",$C86-TODAY())</f>
        <v/>
      </c>
      <c r="Q86" s="24">
        <f>IF($A86="","",IF(OR(NOT(ISNUMBER($B86)),NOT(ISNUMBER($C86))),"Completar fechas",IF(OR($D86="",$E86="",$F86="",$I86="",$J86="",$K86="",$L86="",NOT(ISNUMBER($G86)),NOT(ISNUMBER($H86))),"Completar datos",IF($C86&lt;$B86,"Revisar fechas",IF(AND($L86="Aplicado",NOT(ISNUMBER($M86))),"Falta fecha de aplicación",IF(AND($L86="Aplicado",NOT(ISNUMBER($N86))),"Falta importe final",IF(AND($L86&lt;&gt;"Aplicado",ISNUMBER($M86)),"Revisar fecha de aplicación",IF(AND($K86="Rechazado",$L86&lt;&gt;"Cancelado"),"Revisar estados",IF(AND($H86&gt;=$Y$8,$K86="Pendiente"),"Revisar aprobación",IF(AND($P86&lt;=$Z$8,$P86&gt;=0,$L86="Pendiente"),"Salida próxima: comprobar",IF(AND($P86&lt;0,$L86="Pendiente"),"Salida pasada: comprobar","")))))))))))</f>
        <v/>
      </c>
      <c r="R86">
        <f>IFERROR(INDEX('Parámetros'!$E$4:$E$8,79),"")</f>
        <v/>
      </c>
      <c r="S86">
        <f>IFERROR(INDEX('Parámetros'!$F$4:$F$7,79),"")</f>
        <v/>
      </c>
      <c r="T86">
        <f>IFERROR(INDEX('Parámetros'!$G$4:$G$6,79),"")</f>
        <v/>
      </c>
    </row>
    <row r="87" ht="32" customHeight="1">
      <c r="A87" s="17" t="n"/>
      <c r="B87" s="35" t="n"/>
      <c r="C87" s="35" t="n"/>
      <c r="D87" s="19" t="n"/>
      <c r="E87" s="17" t="n"/>
      <c r="F87" s="19" t="n"/>
      <c r="G87" s="20" t="n"/>
      <c r="H87" s="36" t="n"/>
      <c r="I87" s="19" t="n"/>
      <c r="J87" s="19" t="n"/>
      <c r="K87" s="17" t="n"/>
      <c r="L87" s="17" t="n"/>
      <c r="M87" s="35" t="n"/>
      <c r="N87" s="36" t="n"/>
      <c r="O87" s="33">
        <f>IF($A87="","",IF(AND(ISNUMBER($H87),ISNUMBER($N87)),$N87-$H87,""))</f>
        <v/>
      </c>
      <c r="P87" s="34">
        <f>IF(OR($A87="",NOT(ISNUMBER($C87))),"",$C87-TODAY())</f>
        <v/>
      </c>
      <c r="Q87" s="25">
        <f>IF($A87="","",IF(OR(NOT(ISNUMBER($B87)),NOT(ISNUMBER($C87))),"Completar fechas",IF(OR($D87="",$E87="",$F87="",$I87="",$J87="",$K87="",$L87="",NOT(ISNUMBER($G87)),NOT(ISNUMBER($H87))),"Completar datos",IF($C87&lt;$B87,"Revisar fechas",IF(AND($L87="Aplicado",NOT(ISNUMBER($M87))),"Falta fecha de aplicación",IF(AND($L87="Aplicado",NOT(ISNUMBER($N87))),"Falta importe final",IF(AND($L87&lt;&gt;"Aplicado",ISNUMBER($M87)),"Revisar fecha de aplicación",IF(AND($K87="Rechazado",$L87&lt;&gt;"Cancelado"),"Revisar estados",IF(AND($H87&gt;=$Y$8,$K87="Pendiente"),"Revisar aprobación",IF(AND($P87&lt;=$Z$8,$P87&gt;=0,$L87="Pendiente"),"Salida próxima: comprobar",IF(AND($P87&lt;0,$L87="Pendiente"),"Salida pasada: comprobar","")))))))))))</f>
        <v/>
      </c>
      <c r="R87">
        <f>IFERROR(INDEX('Parámetros'!$E$4:$E$8,80),"")</f>
        <v/>
      </c>
      <c r="S87">
        <f>IFERROR(INDEX('Parámetros'!$F$4:$F$7,80),"")</f>
        <v/>
      </c>
      <c r="T87">
        <f>IFERROR(INDEX('Parámetros'!$G$4:$G$6,80),"")</f>
        <v/>
      </c>
    </row>
    <row r="88" ht="32" customHeight="1">
      <c r="A88" s="17" t="n"/>
      <c r="B88" s="35" t="n"/>
      <c r="C88" s="35" t="n"/>
      <c r="D88" s="19" t="n"/>
      <c r="E88" s="17" t="n"/>
      <c r="F88" s="19" t="n"/>
      <c r="G88" s="20" t="n"/>
      <c r="H88" s="36" t="n"/>
      <c r="I88" s="19" t="n"/>
      <c r="J88" s="19" t="n"/>
      <c r="K88" s="17" t="n"/>
      <c r="L88" s="17" t="n"/>
      <c r="M88" s="35" t="n"/>
      <c r="N88" s="36" t="n"/>
      <c r="O88" s="37">
        <f>IF($A88="","",IF(AND(ISNUMBER($H88),ISNUMBER($N88)),$N88-$H88,""))</f>
        <v/>
      </c>
      <c r="P88" s="38">
        <f>IF(OR($A88="",NOT(ISNUMBER($C88))),"",$C88-TODAY())</f>
        <v/>
      </c>
      <c r="Q88" s="24">
        <f>IF($A88="","",IF(OR(NOT(ISNUMBER($B88)),NOT(ISNUMBER($C88))),"Completar fechas",IF(OR($D88="",$E88="",$F88="",$I88="",$J88="",$K88="",$L88="",NOT(ISNUMBER($G88)),NOT(ISNUMBER($H88))),"Completar datos",IF($C88&lt;$B88,"Revisar fechas",IF(AND($L88="Aplicado",NOT(ISNUMBER($M88))),"Falta fecha de aplicación",IF(AND($L88="Aplicado",NOT(ISNUMBER($N88))),"Falta importe final",IF(AND($L88&lt;&gt;"Aplicado",ISNUMBER($M88)),"Revisar fecha de aplicación",IF(AND($K88="Rechazado",$L88&lt;&gt;"Cancelado"),"Revisar estados",IF(AND($H88&gt;=$Y$8,$K88="Pendiente"),"Revisar aprobación",IF(AND($P88&lt;=$Z$8,$P88&gt;=0,$L88="Pendiente"),"Salida próxima: comprobar",IF(AND($P88&lt;0,$L88="Pendiente"),"Salida pasada: comprobar","")))))))))))</f>
        <v/>
      </c>
      <c r="R88">
        <f>IFERROR(INDEX('Parámetros'!$E$4:$E$8,81),"")</f>
        <v/>
      </c>
      <c r="S88">
        <f>IFERROR(INDEX('Parámetros'!$F$4:$F$7,81),"")</f>
        <v/>
      </c>
      <c r="T88">
        <f>IFERROR(INDEX('Parámetros'!$G$4:$G$6,81),"")</f>
        <v/>
      </c>
    </row>
    <row r="89" ht="32" customHeight="1">
      <c r="A89" s="17" t="n"/>
      <c r="B89" s="35" t="n"/>
      <c r="C89" s="35" t="n"/>
      <c r="D89" s="19" t="n"/>
      <c r="E89" s="17" t="n"/>
      <c r="F89" s="19" t="n"/>
      <c r="G89" s="20" t="n"/>
      <c r="H89" s="36" t="n"/>
      <c r="I89" s="19" t="n"/>
      <c r="J89" s="19" t="n"/>
      <c r="K89" s="17" t="n"/>
      <c r="L89" s="17" t="n"/>
      <c r="M89" s="35" t="n"/>
      <c r="N89" s="36" t="n"/>
      <c r="O89" s="33">
        <f>IF($A89="","",IF(AND(ISNUMBER($H89),ISNUMBER($N89)),$N89-$H89,""))</f>
        <v/>
      </c>
      <c r="P89" s="34">
        <f>IF(OR($A89="",NOT(ISNUMBER($C89))),"",$C89-TODAY())</f>
        <v/>
      </c>
      <c r="Q89" s="25">
        <f>IF($A89="","",IF(OR(NOT(ISNUMBER($B89)),NOT(ISNUMBER($C89))),"Completar fechas",IF(OR($D89="",$E89="",$F89="",$I89="",$J89="",$K89="",$L89="",NOT(ISNUMBER($G89)),NOT(ISNUMBER($H89))),"Completar datos",IF($C89&lt;$B89,"Revisar fechas",IF(AND($L89="Aplicado",NOT(ISNUMBER($M89))),"Falta fecha de aplicación",IF(AND($L89="Aplicado",NOT(ISNUMBER($N89))),"Falta importe final",IF(AND($L89&lt;&gt;"Aplicado",ISNUMBER($M89)),"Revisar fecha de aplicación",IF(AND($K89="Rechazado",$L89&lt;&gt;"Cancelado"),"Revisar estados",IF(AND($H89&gt;=$Y$8,$K89="Pendiente"),"Revisar aprobación",IF(AND($P89&lt;=$Z$8,$P89&gt;=0,$L89="Pendiente"),"Salida próxima: comprobar",IF(AND($P89&lt;0,$L89="Pendiente"),"Salida pasada: comprobar","")))))))))))</f>
        <v/>
      </c>
      <c r="R89">
        <f>IFERROR(INDEX('Parámetros'!$E$4:$E$8,82),"")</f>
        <v/>
      </c>
      <c r="S89">
        <f>IFERROR(INDEX('Parámetros'!$F$4:$F$7,82),"")</f>
        <v/>
      </c>
      <c r="T89">
        <f>IFERROR(INDEX('Parámetros'!$G$4:$G$6,82),"")</f>
        <v/>
      </c>
    </row>
    <row r="90" ht="32" customHeight="1">
      <c r="A90" s="17" t="n"/>
      <c r="B90" s="35" t="n"/>
      <c r="C90" s="35" t="n"/>
      <c r="D90" s="19" t="n"/>
      <c r="E90" s="17" t="n"/>
      <c r="F90" s="19" t="n"/>
      <c r="G90" s="20" t="n"/>
      <c r="H90" s="36" t="n"/>
      <c r="I90" s="19" t="n"/>
      <c r="J90" s="19" t="n"/>
      <c r="K90" s="17" t="n"/>
      <c r="L90" s="17" t="n"/>
      <c r="M90" s="35" t="n"/>
      <c r="N90" s="36" t="n"/>
      <c r="O90" s="37">
        <f>IF($A90="","",IF(AND(ISNUMBER($H90),ISNUMBER($N90)),$N90-$H90,""))</f>
        <v/>
      </c>
      <c r="P90" s="38">
        <f>IF(OR($A90="",NOT(ISNUMBER($C90))),"",$C90-TODAY())</f>
        <v/>
      </c>
      <c r="Q90" s="24">
        <f>IF($A90="","",IF(OR(NOT(ISNUMBER($B90)),NOT(ISNUMBER($C90))),"Completar fechas",IF(OR($D90="",$E90="",$F90="",$I90="",$J90="",$K90="",$L90="",NOT(ISNUMBER($G90)),NOT(ISNUMBER($H90))),"Completar datos",IF($C90&lt;$B90,"Revisar fechas",IF(AND($L90="Aplicado",NOT(ISNUMBER($M90))),"Falta fecha de aplicación",IF(AND($L90="Aplicado",NOT(ISNUMBER($N90))),"Falta importe final",IF(AND($L90&lt;&gt;"Aplicado",ISNUMBER($M90)),"Revisar fecha de aplicación",IF(AND($K90="Rechazado",$L90&lt;&gt;"Cancelado"),"Revisar estados",IF(AND($H90&gt;=$Y$8,$K90="Pendiente"),"Revisar aprobación",IF(AND($P90&lt;=$Z$8,$P90&gt;=0,$L90="Pendiente"),"Salida próxima: comprobar",IF(AND($P90&lt;0,$L90="Pendiente"),"Salida pasada: comprobar","")))))))))))</f>
        <v/>
      </c>
      <c r="R90">
        <f>IFERROR(INDEX('Parámetros'!$E$4:$E$8,83),"")</f>
        <v/>
      </c>
      <c r="S90">
        <f>IFERROR(INDEX('Parámetros'!$F$4:$F$7,83),"")</f>
        <v/>
      </c>
      <c r="T90">
        <f>IFERROR(INDEX('Parámetros'!$G$4:$G$6,83),"")</f>
        <v/>
      </c>
    </row>
    <row r="91" ht="32" customHeight="1">
      <c r="A91" s="17" t="n"/>
      <c r="B91" s="35" t="n"/>
      <c r="C91" s="35" t="n"/>
      <c r="D91" s="19" t="n"/>
      <c r="E91" s="17" t="n"/>
      <c r="F91" s="19" t="n"/>
      <c r="G91" s="20" t="n"/>
      <c r="H91" s="36" t="n"/>
      <c r="I91" s="19" t="n"/>
      <c r="J91" s="19" t="n"/>
      <c r="K91" s="17" t="n"/>
      <c r="L91" s="17" t="n"/>
      <c r="M91" s="35" t="n"/>
      <c r="N91" s="36" t="n"/>
      <c r="O91" s="33">
        <f>IF($A91="","",IF(AND(ISNUMBER($H91),ISNUMBER($N91)),$N91-$H91,""))</f>
        <v/>
      </c>
      <c r="P91" s="34">
        <f>IF(OR($A91="",NOT(ISNUMBER($C91))),"",$C91-TODAY())</f>
        <v/>
      </c>
      <c r="Q91" s="25">
        <f>IF($A91="","",IF(OR(NOT(ISNUMBER($B91)),NOT(ISNUMBER($C91))),"Completar fechas",IF(OR($D91="",$E91="",$F91="",$I91="",$J91="",$K91="",$L91="",NOT(ISNUMBER($G91)),NOT(ISNUMBER($H91))),"Completar datos",IF($C91&lt;$B91,"Revisar fechas",IF(AND($L91="Aplicado",NOT(ISNUMBER($M91))),"Falta fecha de aplicación",IF(AND($L91="Aplicado",NOT(ISNUMBER($N91))),"Falta importe final",IF(AND($L91&lt;&gt;"Aplicado",ISNUMBER($M91)),"Revisar fecha de aplicación",IF(AND($K91="Rechazado",$L91&lt;&gt;"Cancelado"),"Revisar estados",IF(AND($H91&gt;=$Y$8,$K91="Pendiente"),"Revisar aprobación",IF(AND($P91&lt;=$Z$8,$P91&gt;=0,$L91="Pendiente"),"Salida próxima: comprobar",IF(AND($P91&lt;0,$L91="Pendiente"),"Salida pasada: comprobar","")))))))))))</f>
        <v/>
      </c>
      <c r="R91">
        <f>IFERROR(INDEX('Parámetros'!$E$4:$E$8,84),"")</f>
        <v/>
      </c>
      <c r="S91">
        <f>IFERROR(INDEX('Parámetros'!$F$4:$F$7,84),"")</f>
        <v/>
      </c>
      <c r="T91">
        <f>IFERROR(INDEX('Parámetros'!$G$4:$G$6,84),"")</f>
        <v/>
      </c>
    </row>
    <row r="92" ht="32" customHeight="1">
      <c r="A92" s="17" t="n"/>
      <c r="B92" s="35" t="n"/>
      <c r="C92" s="35" t="n"/>
      <c r="D92" s="19" t="n"/>
      <c r="E92" s="17" t="n"/>
      <c r="F92" s="19" t="n"/>
      <c r="G92" s="20" t="n"/>
      <c r="H92" s="36" t="n"/>
      <c r="I92" s="19" t="n"/>
      <c r="J92" s="19" t="n"/>
      <c r="K92" s="17" t="n"/>
      <c r="L92" s="17" t="n"/>
      <c r="M92" s="35" t="n"/>
      <c r="N92" s="36" t="n"/>
      <c r="O92" s="37">
        <f>IF($A92="","",IF(AND(ISNUMBER($H92),ISNUMBER($N92)),$N92-$H92,""))</f>
        <v/>
      </c>
      <c r="P92" s="38">
        <f>IF(OR($A92="",NOT(ISNUMBER($C92))),"",$C92-TODAY())</f>
        <v/>
      </c>
      <c r="Q92" s="24">
        <f>IF($A92="","",IF(OR(NOT(ISNUMBER($B92)),NOT(ISNUMBER($C92))),"Completar fechas",IF(OR($D92="",$E92="",$F92="",$I92="",$J92="",$K92="",$L92="",NOT(ISNUMBER($G92)),NOT(ISNUMBER($H92))),"Completar datos",IF($C92&lt;$B92,"Revisar fechas",IF(AND($L92="Aplicado",NOT(ISNUMBER($M92))),"Falta fecha de aplicación",IF(AND($L92="Aplicado",NOT(ISNUMBER($N92))),"Falta importe final",IF(AND($L92&lt;&gt;"Aplicado",ISNUMBER($M92)),"Revisar fecha de aplicación",IF(AND($K92="Rechazado",$L92&lt;&gt;"Cancelado"),"Revisar estados",IF(AND($H92&gt;=$Y$8,$K92="Pendiente"),"Revisar aprobación",IF(AND($P92&lt;=$Z$8,$P92&gt;=0,$L92="Pendiente"),"Salida próxima: comprobar",IF(AND($P92&lt;0,$L92="Pendiente"),"Salida pasada: comprobar","")))))))))))</f>
        <v/>
      </c>
      <c r="R92">
        <f>IFERROR(INDEX('Parámetros'!$E$4:$E$8,85),"")</f>
        <v/>
      </c>
      <c r="S92">
        <f>IFERROR(INDEX('Parámetros'!$F$4:$F$7,85),"")</f>
        <v/>
      </c>
      <c r="T92">
        <f>IFERROR(INDEX('Parámetros'!$G$4:$G$6,85),"")</f>
        <v/>
      </c>
    </row>
    <row r="93" ht="32" customHeight="1">
      <c r="A93" s="17" t="n"/>
      <c r="B93" s="35" t="n"/>
      <c r="C93" s="35" t="n"/>
      <c r="D93" s="19" t="n"/>
      <c r="E93" s="17" t="n"/>
      <c r="F93" s="19" t="n"/>
      <c r="G93" s="20" t="n"/>
      <c r="H93" s="36" t="n"/>
      <c r="I93" s="19" t="n"/>
      <c r="J93" s="19" t="n"/>
      <c r="K93" s="17" t="n"/>
      <c r="L93" s="17" t="n"/>
      <c r="M93" s="35" t="n"/>
      <c r="N93" s="36" t="n"/>
      <c r="O93" s="33">
        <f>IF($A93="","",IF(AND(ISNUMBER($H93),ISNUMBER($N93)),$N93-$H93,""))</f>
        <v/>
      </c>
      <c r="P93" s="34">
        <f>IF(OR($A93="",NOT(ISNUMBER($C93))),"",$C93-TODAY())</f>
        <v/>
      </c>
      <c r="Q93" s="25">
        <f>IF($A93="","",IF(OR(NOT(ISNUMBER($B93)),NOT(ISNUMBER($C93))),"Completar fechas",IF(OR($D93="",$E93="",$F93="",$I93="",$J93="",$K93="",$L93="",NOT(ISNUMBER($G93)),NOT(ISNUMBER($H93))),"Completar datos",IF($C93&lt;$B93,"Revisar fechas",IF(AND($L93="Aplicado",NOT(ISNUMBER($M93))),"Falta fecha de aplicación",IF(AND($L93="Aplicado",NOT(ISNUMBER($N93))),"Falta importe final",IF(AND($L93&lt;&gt;"Aplicado",ISNUMBER($M93)),"Revisar fecha de aplicación",IF(AND($K93="Rechazado",$L93&lt;&gt;"Cancelado"),"Revisar estados",IF(AND($H93&gt;=$Y$8,$K93="Pendiente"),"Revisar aprobación",IF(AND($P93&lt;=$Z$8,$P93&gt;=0,$L93="Pendiente"),"Salida próxima: comprobar",IF(AND($P93&lt;0,$L93="Pendiente"),"Salida pasada: comprobar","")))))))))))</f>
        <v/>
      </c>
      <c r="R93">
        <f>IFERROR(INDEX('Parámetros'!$E$4:$E$8,86),"")</f>
        <v/>
      </c>
      <c r="S93">
        <f>IFERROR(INDEX('Parámetros'!$F$4:$F$7,86),"")</f>
        <v/>
      </c>
      <c r="T93">
        <f>IFERROR(INDEX('Parámetros'!$G$4:$G$6,86),"")</f>
        <v/>
      </c>
    </row>
    <row r="94" ht="32" customHeight="1">
      <c r="A94" s="17" t="n"/>
      <c r="B94" s="35" t="n"/>
      <c r="C94" s="35" t="n"/>
      <c r="D94" s="19" t="n"/>
      <c r="E94" s="17" t="n"/>
      <c r="F94" s="19" t="n"/>
      <c r="G94" s="20" t="n"/>
      <c r="H94" s="36" t="n"/>
      <c r="I94" s="19" t="n"/>
      <c r="J94" s="19" t="n"/>
      <c r="K94" s="17" t="n"/>
      <c r="L94" s="17" t="n"/>
      <c r="M94" s="35" t="n"/>
      <c r="N94" s="36" t="n"/>
      <c r="O94" s="37">
        <f>IF($A94="","",IF(AND(ISNUMBER($H94),ISNUMBER($N94)),$N94-$H94,""))</f>
        <v/>
      </c>
      <c r="P94" s="38">
        <f>IF(OR($A94="",NOT(ISNUMBER($C94))),"",$C94-TODAY())</f>
        <v/>
      </c>
      <c r="Q94" s="24">
        <f>IF($A94="","",IF(OR(NOT(ISNUMBER($B94)),NOT(ISNUMBER($C94))),"Completar fechas",IF(OR($D94="",$E94="",$F94="",$I94="",$J94="",$K94="",$L94="",NOT(ISNUMBER($G94)),NOT(ISNUMBER($H94))),"Completar datos",IF($C94&lt;$B94,"Revisar fechas",IF(AND($L94="Aplicado",NOT(ISNUMBER($M94))),"Falta fecha de aplicación",IF(AND($L94="Aplicado",NOT(ISNUMBER($N94))),"Falta importe final",IF(AND($L94&lt;&gt;"Aplicado",ISNUMBER($M94)),"Revisar fecha de aplicación",IF(AND($K94="Rechazado",$L94&lt;&gt;"Cancelado"),"Revisar estados",IF(AND($H94&gt;=$Y$8,$K94="Pendiente"),"Revisar aprobación",IF(AND($P94&lt;=$Z$8,$P94&gt;=0,$L94="Pendiente"),"Salida próxima: comprobar",IF(AND($P94&lt;0,$L94="Pendiente"),"Salida pasada: comprobar","")))))))))))</f>
        <v/>
      </c>
      <c r="R94">
        <f>IFERROR(INDEX('Parámetros'!$E$4:$E$8,87),"")</f>
        <v/>
      </c>
      <c r="S94">
        <f>IFERROR(INDEX('Parámetros'!$F$4:$F$7,87),"")</f>
        <v/>
      </c>
      <c r="T94">
        <f>IFERROR(INDEX('Parámetros'!$G$4:$G$6,87),"")</f>
        <v/>
      </c>
    </row>
    <row r="95" ht="32" customHeight="1">
      <c r="A95" s="17" t="n"/>
      <c r="B95" s="35" t="n"/>
      <c r="C95" s="35" t="n"/>
      <c r="D95" s="19" t="n"/>
      <c r="E95" s="17" t="n"/>
      <c r="F95" s="19" t="n"/>
      <c r="G95" s="20" t="n"/>
      <c r="H95" s="36" t="n"/>
      <c r="I95" s="19" t="n"/>
      <c r="J95" s="19" t="n"/>
      <c r="K95" s="17" t="n"/>
      <c r="L95" s="17" t="n"/>
      <c r="M95" s="35" t="n"/>
      <c r="N95" s="36" t="n"/>
      <c r="O95" s="33">
        <f>IF($A95="","",IF(AND(ISNUMBER($H95),ISNUMBER($N95)),$N95-$H95,""))</f>
        <v/>
      </c>
      <c r="P95" s="34">
        <f>IF(OR($A95="",NOT(ISNUMBER($C95))),"",$C95-TODAY())</f>
        <v/>
      </c>
      <c r="Q95" s="25">
        <f>IF($A95="","",IF(OR(NOT(ISNUMBER($B95)),NOT(ISNUMBER($C95))),"Completar fechas",IF(OR($D95="",$E95="",$F95="",$I95="",$J95="",$K95="",$L95="",NOT(ISNUMBER($G95)),NOT(ISNUMBER($H95))),"Completar datos",IF($C95&lt;$B95,"Revisar fechas",IF(AND($L95="Aplicado",NOT(ISNUMBER($M95))),"Falta fecha de aplicación",IF(AND($L95="Aplicado",NOT(ISNUMBER($N95))),"Falta importe final",IF(AND($L95&lt;&gt;"Aplicado",ISNUMBER($M95)),"Revisar fecha de aplicación",IF(AND($K95="Rechazado",$L95&lt;&gt;"Cancelado"),"Revisar estados",IF(AND($H95&gt;=$Y$8,$K95="Pendiente"),"Revisar aprobación",IF(AND($P95&lt;=$Z$8,$P95&gt;=0,$L95="Pendiente"),"Salida próxima: comprobar",IF(AND($P95&lt;0,$L95="Pendiente"),"Salida pasada: comprobar","")))))))))))</f>
        <v/>
      </c>
      <c r="R95">
        <f>IFERROR(INDEX('Parámetros'!$E$4:$E$8,88),"")</f>
        <v/>
      </c>
      <c r="S95">
        <f>IFERROR(INDEX('Parámetros'!$F$4:$F$7,88),"")</f>
        <v/>
      </c>
      <c r="T95">
        <f>IFERROR(INDEX('Parámetros'!$G$4:$G$6,88),"")</f>
        <v/>
      </c>
    </row>
    <row r="96" ht="32" customHeight="1">
      <c r="A96" s="17" t="n"/>
      <c r="B96" s="35" t="n"/>
      <c r="C96" s="35" t="n"/>
      <c r="D96" s="19" t="n"/>
      <c r="E96" s="17" t="n"/>
      <c r="F96" s="19" t="n"/>
      <c r="G96" s="20" t="n"/>
      <c r="H96" s="36" t="n"/>
      <c r="I96" s="19" t="n"/>
      <c r="J96" s="19" t="n"/>
      <c r="K96" s="17" t="n"/>
      <c r="L96" s="17" t="n"/>
      <c r="M96" s="35" t="n"/>
      <c r="N96" s="36" t="n"/>
      <c r="O96" s="37">
        <f>IF($A96="","",IF(AND(ISNUMBER($H96),ISNUMBER($N96)),$N96-$H96,""))</f>
        <v/>
      </c>
      <c r="P96" s="38">
        <f>IF(OR($A96="",NOT(ISNUMBER($C96))),"",$C96-TODAY())</f>
        <v/>
      </c>
      <c r="Q96" s="24">
        <f>IF($A96="","",IF(OR(NOT(ISNUMBER($B96)),NOT(ISNUMBER($C96))),"Completar fechas",IF(OR($D96="",$E96="",$F96="",$I96="",$J96="",$K96="",$L96="",NOT(ISNUMBER($G96)),NOT(ISNUMBER($H96))),"Completar datos",IF($C96&lt;$B96,"Revisar fechas",IF(AND($L96="Aplicado",NOT(ISNUMBER($M96))),"Falta fecha de aplicación",IF(AND($L96="Aplicado",NOT(ISNUMBER($N96))),"Falta importe final",IF(AND($L96&lt;&gt;"Aplicado",ISNUMBER($M96)),"Revisar fecha de aplicación",IF(AND($K96="Rechazado",$L96&lt;&gt;"Cancelado"),"Revisar estados",IF(AND($H96&gt;=$Y$8,$K96="Pendiente"),"Revisar aprobación",IF(AND($P96&lt;=$Z$8,$P96&gt;=0,$L96="Pendiente"),"Salida próxima: comprobar",IF(AND($P96&lt;0,$L96="Pendiente"),"Salida pasada: comprobar","")))))))))))</f>
        <v/>
      </c>
      <c r="R96">
        <f>IFERROR(INDEX('Parámetros'!$E$4:$E$8,89),"")</f>
        <v/>
      </c>
      <c r="S96">
        <f>IFERROR(INDEX('Parámetros'!$F$4:$F$7,89),"")</f>
        <v/>
      </c>
      <c r="T96">
        <f>IFERROR(INDEX('Parámetros'!$G$4:$G$6,89),"")</f>
        <v/>
      </c>
    </row>
    <row r="97" ht="32" customHeight="1">
      <c r="A97" s="17" t="n"/>
      <c r="B97" s="35" t="n"/>
      <c r="C97" s="35" t="n"/>
      <c r="D97" s="19" t="n"/>
      <c r="E97" s="17" t="n"/>
      <c r="F97" s="19" t="n"/>
      <c r="G97" s="20" t="n"/>
      <c r="H97" s="36" t="n"/>
      <c r="I97" s="19" t="n"/>
      <c r="J97" s="19" t="n"/>
      <c r="K97" s="17" t="n"/>
      <c r="L97" s="17" t="n"/>
      <c r="M97" s="35" t="n"/>
      <c r="N97" s="36" t="n"/>
      <c r="O97" s="33">
        <f>IF($A97="","",IF(AND(ISNUMBER($H97),ISNUMBER($N97)),$N97-$H97,""))</f>
        <v/>
      </c>
      <c r="P97" s="34">
        <f>IF(OR($A97="",NOT(ISNUMBER($C97))),"",$C97-TODAY())</f>
        <v/>
      </c>
      <c r="Q97" s="25">
        <f>IF($A97="","",IF(OR(NOT(ISNUMBER($B97)),NOT(ISNUMBER($C97))),"Completar fechas",IF(OR($D97="",$E97="",$F97="",$I97="",$J97="",$K97="",$L97="",NOT(ISNUMBER($G97)),NOT(ISNUMBER($H97))),"Completar datos",IF($C97&lt;$B97,"Revisar fechas",IF(AND($L97="Aplicado",NOT(ISNUMBER($M97))),"Falta fecha de aplicación",IF(AND($L97="Aplicado",NOT(ISNUMBER($N97))),"Falta importe final",IF(AND($L97&lt;&gt;"Aplicado",ISNUMBER($M97)),"Revisar fecha de aplicación",IF(AND($K97="Rechazado",$L97&lt;&gt;"Cancelado"),"Revisar estados",IF(AND($H97&gt;=$Y$8,$K97="Pendiente"),"Revisar aprobación",IF(AND($P97&lt;=$Z$8,$P97&gt;=0,$L97="Pendiente"),"Salida próxima: comprobar",IF(AND($P97&lt;0,$L97="Pendiente"),"Salida pasada: comprobar","")))))))))))</f>
        <v/>
      </c>
      <c r="R97">
        <f>IFERROR(INDEX('Parámetros'!$E$4:$E$8,90),"")</f>
        <v/>
      </c>
      <c r="S97">
        <f>IFERROR(INDEX('Parámetros'!$F$4:$F$7,90),"")</f>
        <v/>
      </c>
      <c r="T97">
        <f>IFERROR(INDEX('Parámetros'!$G$4:$G$6,90),"")</f>
        <v/>
      </c>
    </row>
    <row r="98" ht="32" customHeight="1">
      <c r="A98" s="17" t="n"/>
      <c r="B98" s="35" t="n"/>
      <c r="C98" s="35" t="n"/>
      <c r="D98" s="19" t="n"/>
      <c r="E98" s="17" t="n"/>
      <c r="F98" s="19" t="n"/>
      <c r="G98" s="20" t="n"/>
      <c r="H98" s="36" t="n"/>
      <c r="I98" s="19" t="n"/>
      <c r="J98" s="19" t="n"/>
      <c r="K98" s="17" t="n"/>
      <c r="L98" s="17" t="n"/>
      <c r="M98" s="35" t="n"/>
      <c r="N98" s="36" t="n"/>
      <c r="O98" s="37">
        <f>IF($A98="","",IF(AND(ISNUMBER($H98),ISNUMBER($N98)),$N98-$H98,""))</f>
        <v/>
      </c>
      <c r="P98" s="38">
        <f>IF(OR($A98="",NOT(ISNUMBER($C98))),"",$C98-TODAY())</f>
        <v/>
      </c>
      <c r="Q98" s="24">
        <f>IF($A98="","",IF(OR(NOT(ISNUMBER($B98)),NOT(ISNUMBER($C98))),"Completar fechas",IF(OR($D98="",$E98="",$F98="",$I98="",$J98="",$K98="",$L98="",NOT(ISNUMBER($G98)),NOT(ISNUMBER($H98))),"Completar datos",IF($C98&lt;$B98,"Revisar fechas",IF(AND($L98="Aplicado",NOT(ISNUMBER($M98))),"Falta fecha de aplicación",IF(AND($L98="Aplicado",NOT(ISNUMBER($N98))),"Falta importe final",IF(AND($L98&lt;&gt;"Aplicado",ISNUMBER($M98)),"Revisar fecha de aplicación",IF(AND($K98="Rechazado",$L98&lt;&gt;"Cancelado"),"Revisar estados",IF(AND($H98&gt;=$Y$8,$K98="Pendiente"),"Revisar aprobación",IF(AND($P98&lt;=$Z$8,$P98&gt;=0,$L98="Pendiente"),"Salida próxima: comprobar",IF(AND($P98&lt;0,$L98="Pendiente"),"Salida pasada: comprobar","")))))))))))</f>
        <v/>
      </c>
      <c r="R98">
        <f>IFERROR(INDEX('Parámetros'!$E$4:$E$8,91),"")</f>
        <v/>
      </c>
      <c r="S98">
        <f>IFERROR(INDEX('Parámetros'!$F$4:$F$7,91),"")</f>
        <v/>
      </c>
      <c r="T98">
        <f>IFERROR(INDEX('Parámetros'!$G$4:$G$6,91),"")</f>
        <v/>
      </c>
    </row>
    <row r="99" ht="32" customHeight="1">
      <c r="A99" s="17" t="n"/>
      <c r="B99" s="35" t="n"/>
      <c r="C99" s="35" t="n"/>
      <c r="D99" s="19" t="n"/>
      <c r="E99" s="17" t="n"/>
      <c r="F99" s="19" t="n"/>
      <c r="G99" s="20" t="n"/>
      <c r="H99" s="36" t="n"/>
      <c r="I99" s="19" t="n"/>
      <c r="J99" s="19" t="n"/>
      <c r="K99" s="17" t="n"/>
      <c r="L99" s="17" t="n"/>
      <c r="M99" s="35" t="n"/>
      <c r="N99" s="36" t="n"/>
      <c r="O99" s="33">
        <f>IF($A99="","",IF(AND(ISNUMBER($H99),ISNUMBER($N99)),$N99-$H99,""))</f>
        <v/>
      </c>
      <c r="P99" s="34">
        <f>IF(OR($A99="",NOT(ISNUMBER($C99))),"",$C99-TODAY())</f>
        <v/>
      </c>
      <c r="Q99" s="25">
        <f>IF($A99="","",IF(OR(NOT(ISNUMBER($B99)),NOT(ISNUMBER($C99))),"Completar fechas",IF(OR($D99="",$E99="",$F99="",$I99="",$J99="",$K99="",$L99="",NOT(ISNUMBER($G99)),NOT(ISNUMBER($H99))),"Completar datos",IF($C99&lt;$B99,"Revisar fechas",IF(AND($L99="Aplicado",NOT(ISNUMBER($M99))),"Falta fecha de aplicación",IF(AND($L99="Aplicado",NOT(ISNUMBER($N99))),"Falta importe final",IF(AND($L99&lt;&gt;"Aplicado",ISNUMBER($M99)),"Revisar fecha de aplicación",IF(AND($K99="Rechazado",$L99&lt;&gt;"Cancelado"),"Revisar estados",IF(AND($H99&gt;=$Y$8,$K99="Pendiente"),"Revisar aprobación",IF(AND($P99&lt;=$Z$8,$P99&gt;=0,$L99="Pendiente"),"Salida próxima: comprobar",IF(AND($P99&lt;0,$L99="Pendiente"),"Salida pasada: comprobar","")))))))))))</f>
        <v/>
      </c>
      <c r="R99">
        <f>IFERROR(INDEX('Parámetros'!$E$4:$E$8,92),"")</f>
        <v/>
      </c>
      <c r="S99">
        <f>IFERROR(INDEX('Parámetros'!$F$4:$F$7,92),"")</f>
        <v/>
      </c>
      <c r="T99">
        <f>IFERROR(INDEX('Parámetros'!$G$4:$G$6,92),"")</f>
        <v/>
      </c>
    </row>
    <row r="100" ht="32" customHeight="1">
      <c r="A100" s="17" t="n"/>
      <c r="B100" s="35" t="n"/>
      <c r="C100" s="35" t="n"/>
      <c r="D100" s="19" t="n"/>
      <c r="E100" s="17" t="n"/>
      <c r="F100" s="19" t="n"/>
      <c r="G100" s="20" t="n"/>
      <c r="H100" s="36" t="n"/>
      <c r="I100" s="19" t="n"/>
      <c r="J100" s="19" t="n"/>
      <c r="K100" s="17" t="n"/>
      <c r="L100" s="17" t="n"/>
      <c r="M100" s="35" t="n"/>
      <c r="N100" s="36" t="n"/>
      <c r="O100" s="37">
        <f>IF($A100="","",IF(AND(ISNUMBER($H100),ISNUMBER($N100)),$N100-$H100,""))</f>
        <v/>
      </c>
      <c r="P100" s="38">
        <f>IF(OR($A100="",NOT(ISNUMBER($C100))),"",$C100-TODAY())</f>
        <v/>
      </c>
      <c r="Q100" s="24">
        <f>IF($A100="","",IF(OR(NOT(ISNUMBER($B100)),NOT(ISNUMBER($C100))),"Completar fechas",IF(OR($D100="",$E100="",$F100="",$I100="",$J100="",$K100="",$L100="",NOT(ISNUMBER($G100)),NOT(ISNUMBER($H100))),"Completar datos",IF($C100&lt;$B100,"Revisar fechas",IF(AND($L100="Aplicado",NOT(ISNUMBER($M100))),"Falta fecha de aplicación",IF(AND($L100="Aplicado",NOT(ISNUMBER($N100))),"Falta importe final",IF(AND($L100&lt;&gt;"Aplicado",ISNUMBER($M100)),"Revisar fecha de aplicación",IF(AND($K100="Rechazado",$L100&lt;&gt;"Cancelado"),"Revisar estados",IF(AND($H100&gt;=$Y$8,$K100="Pendiente"),"Revisar aprobación",IF(AND($P100&lt;=$Z$8,$P100&gt;=0,$L100="Pendiente"),"Salida próxima: comprobar",IF(AND($P100&lt;0,$L100="Pendiente"),"Salida pasada: comprobar","")))))))))))</f>
        <v/>
      </c>
      <c r="R100">
        <f>IFERROR(INDEX('Parámetros'!$E$4:$E$8,93),"")</f>
        <v/>
      </c>
      <c r="S100">
        <f>IFERROR(INDEX('Parámetros'!$F$4:$F$7,93),"")</f>
        <v/>
      </c>
      <c r="T100">
        <f>IFERROR(INDEX('Parámetros'!$G$4:$G$6,93),"")</f>
        <v/>
      </c>
    </row>
    <row r="101" ht="32" customHeight="1">
      <c r="A101" s="17" t="n"/>
      <c r="B101" s="35" t="n"/>
      <c r="C101" s="35" t="n"/>
      <c r="D101" s="19" t="n"/>
      <c r="E101" s="17" t="n"/>
      <c r="F101" s="19" t="n"/>
      <c r="G101" s="20" t="n"/>
      <c r="H101" s="36" t="n"/>
      <c r="I101" s="19" t="n"/>
      <c r="J101" s="19" t="n"/>
      <c r="K101" s="17" t="n"/>
      <c r="L101" s="17" t="n"/>
      <c r="M101" s="35" t="n"/>
      <c r="N101" s="36" t="n"/>
      <c r="O101" s="33">
        <f>IF($A101="","",IF(AND(ISNUMBER($H101),ISNUMBER($N101)),$N101-$H101,""))</f>
        <v/>
      </c>
      <c r="P101" s="34">
        <f>IF(OR($A101="",NOT(ISNUMBER($C101))),"",$C101-TODAY())</f>
        <v/>
      </c>
      <c r="Q101" s="25">
        <f>IF($A101="","",IF(OR(NOT(ISNUMBER($B101)),NOT(ISNUMBER($C101))),"Completar fechas",IF(OR($D101="",$E101="",$F101="",$I101="",$J101="",$K101="",$L101="",NOT(ISNUMBER($G101)),NOT(ISNUMBER($H101))),"Completar datos",IF($C101&lt;$B101,"Revisar fechas",IF(AND($L101="Aplicado",NOT(ISNUMBER($M101))),"Falta fecha de aplicación",IF(AND($L101="Aplicado",NOT(ISNUMBER($N101))),"Falta importe final",IF(AND($L101&lt;&gt;"Aplicado",ISNUMBER($M101)),"Revisar fecha de aplicación",IF(AND($K101="Rechazado",$L101&lt;&gt;"Cancelado"),"Revisar estados",IF(AND($H101&gt;=$Y$8,$K101="Pendiente"),"Revisar aprobación",IF(AND($P101&lt;=$Z$8,$P101&gt;=0,$L101="Pendiente"),"Salida próxima: comprobar",IF(AND($P101&lt;0,$L101="Pendiente"),"Salida pasada: comprobar","")))))))))))</f>
        <v/>
      </c>
      <c r="R101">
        <f>IFERROR(INDEX('Parámetros'!$E$4:$E$8,94),"")</f>
        <v/>
      </c>
      <c r="S101">
        <f>IFERROR(INDEX('Parámetros'!$F$4:$F$7,94),"")</f>
        <v/>
      </c>
      <c r="T101">
        <f>IFERROR(INDEX('Parámetros'!$G$4:$G$6,94),"")</f>
        <v/>
      </c>
    </row>
    <row r="102" ht="32" customHeight="1">
      <c r="A102" s="17" t="n"/>
      <c r="B102" s="35" t="n"/>
      <c r="C102" s="35" t="n"/>
      <c r="D102" s="19" t="n"/>
      <c r="E102" s="17" t="n"/>
      <c r="F102" s="19" t="n"/>
      <c r="G102" s="20" t="n"/>
      <c r="H102" s="36" t="n"/>
      <c r="I102" s="19" t="n"/>
      <c r="J102" s="19" t="n"/>
      <c r="K102" s="17" t="n"/>
      <c r="L102" s="17" t="n"/>
      <c r="M102" s="35" t="n"/>
      <c r="N102" s="36" t="n"/>
      <c r="O102" s="37">
        <f>IF($A102="","",IF(AND(ISNUMBER($H102),ISNUMBER($N102)),$N102-$H102,""))</f>
        <v/>
      </c>
      <c r="P102" s="38">
        <f>IF(OR($A102="",NOT(ISNUMBER($C102))),"",$C102-TODAY())</f>
        <v/>
      </c>
      <c r="Q102" s="24">
        <f>IF($A102="","",IF(OR(NOT(ISNUMBER($B102)),NOT(ISNUMBER($C102))),"Completar fechas",IF(OR($D102="",$E102="",$F102="",$I102="",$J102="",$K102="",$L102="",NOT(ISNUMBER($G102)),NOT(ISNUMBER($H102))),"Completar datos",IF($C102&lt;$B102,"Revisar fechas",IF(AND($L102="Aplicado",NOT(ISNUMBER($M102))),"Falta fecha de aplicación",IF(AND($L102="Aplicado",NOT(ISNUMBER($N102))),"Falta importe final",IF(AND($L102&lt;&gt;"Aplicado",ISNUMBER($M102)),"Revisar fecha de aplicación",IF(AND($K102="Rechazado",$L102&lt;&gt;"Cancelado"),"Revisar estados",IF(AND($H102&gt;=$Y$8,$K102="Pendiente"),"Revisar aprobación",IF(AND($P102&lt;=$Z$8,$P102&gt;=0,$L102="Pendiente"),"Salida próxima: comprobar",IF(AND($P102&lt;0,$L102="Pendiente"),"Salida pasada: comprobar","")))))))))))</f>
        <v/>
      </c>
      <c r="R102">
        <f>IFERROR(INDEX('Parámetros'!$E$4:$E$8,95),"")</f>
        <v/>
      </c>
      <c r="S102">
        <f>IFERROR(INDEX('Parámetros'!$F$4:$F$7,95),"")</f>
        <v/>
      </c>
      <c r="T102">
        <f>IFERROR(INDEX('Parámetros'!$G$4:$G$6,95),"")</f>
        <v/>
      </c>
    </row>
    <row r="103" ht="32" customHeight="1">
      <c r="A103" s="17" t="n"/>
      <c r="B103" s="35" t="n"/>
      <c r="C103" s="35" t="n"/>
      <c r="D103" s="19" t="n"/>
      <c r="E103" s="17" t="n"/>
      <c r="F103" s="19" t="n"/>
      <c r="G103" s="20" t="n"/>
      <c r="H103" s="36" t="n"/>
      <c r="I103" s="19" t="n"/>
      <c r="J103" s="19" t="n"/>
      <c r="K103" s="17" t="n"/>
      <c r="L103" s="17" t="n"/>
      <c r="M103" s="35" t="n"/>
      <c r="N103" s="36" t="n"/>
      <c r="O103" s="33">
        <f>IF($A103="","",IF(AND(ISNUMBER($H103),ISNUMBER($N103)),$N103-$H103,""))</f>
        <v/>
      </c>
      <c r="P103" s="34">
        <f>IF(OR($A103="",NOT(ISNUMBER($C103))),"",$C103-TODAY())</f>
        <v/>
      </c>
      <c r="Q103" s="25">
        <f>IF($A103="","",IF(OR(NOT(ISNUMBER($B103)),NOT(ISNUMBER($C103))),"Completar fechas",IF(OR($D103="",$E103="",$F103="",$I103="",$J103="",$K103="",$L103="",NOT(ISNUMBER($G103)),NOT(ISNUMBER($H103))),"Completar datos",IF($C103&lt;$B103,"Revisar fechas",IF(AND($L103="Aplicado",NOT(ISNUMBER($M103))),"Falta fecha de aplicación",IF(AND($L103="Aplicado",NOT(ISNUMBER($N103))),"Falta importe final",IF(AND($L103&lt;&gt;"Aplicado",ISNUMBER($M103)),"Revisar fecha de aplicación",IF(AND($K103="Rechazado",$L103&lt;&gt;"Cancelado"),"Revisar estados",IF(AND($H103&gt;=$Y$8,$K103="Pendiente"),"Revisar aprobación",IF(AND($P103&lt;=$Z$8,$P103&gt;=0,$L103="Pendiente"),"Salida próxima: comprobar",IF(AND($P103&lt;0,$L103="Pendiente"),"Salida pasada: comprobar","")))))))))))</f>
        <v/>
      </c>
      <c r="R103">
        <f>IFERROR(INDEX('Parámetros'!$E$4:$E$8,96),"")</f>
        <v/>
      </c>
      <c r="S103">
        <f>IFERROR(INDEX('Parámetros'!$F$4:$F$7,96),"")</f>
        <v/>
      </c>
      <c r="T103">
        <f>IFERROR(INDEX('Parámetros'!$G$4:$G$6,96),"")</f>
        <v/>
      </c>
    </row>
    <row r="104" ht="32" customHeight="1">
      <c r="A104" s="17" t="n"/>
      <c r="B104" s="35" t="n"/>
      <c r="C104" s="35" t="n"/>
      <c r="D104" s="19" t="n"/>
      <c r="E104" s="17" t="n"/>
      <c r="F104" s="19" t="n"/>
      <c r="G104" s="20" t="n"/>
      <c r="H104" s="36" t="n"/>
      <c r="I104" s="19" t="n"/>
      <c r="J104" s="19" t="n"/>
      <c r="K104" s="17" t="n"/>
      <c r="L104" s="17" t="n"/>
      <c r="M104" s="35" t="n"/>
      <c r="N104" s="36" t="n"/>
      <c r="O104" s="37">
        <f>IF($A104="","",IF(AND(ISNUMBER($H104),ISNUMBER($N104)),$N104-$H104,""))</f>
        <v/>
      </c>
      <c r="P104" s="38">
        <f>IF(OR($A104="",NOT(ISNUMBER($C104))),"",$C104-TODAY())</f>
        <v/>
      </c>
      <c r="Q104" s="24">
        <f>IF($A104="","",IF(OR(NOT(ISNUMBER($B104)),NOT(ISNUMBER($C104))),"Completar fechas",IF(OR($D104="",$E104="",$F104="",$I104="",$J104="",$K104="",$L104="",NOT(ISNUMBER($G104)),NOT(ISNUMBER($H104))),"Completar datos",IF($C104&lt;$B104,"Revisar fechas",IF(AND($L104="Aplicado",NOT(ISNUMBER($M104))),"Falta fecha de aplicación",IF(AND($L104="Aplicado",NOT(ISNUMBER($N104))),"Falta importe final",IF(AND($L104&lt;&gt;"Aplicado",ISNUMBER($M104)),"Revisar fecha de aplicación",IF(AND($K104="Rechazado",$L104&lt;&gt;"Cancelado"),"Revisar estados",IF(AND($H104&gt;=$Y$8,$K104="Pendiente"),"Revisar aprobación",IF(AND($P104&lt;=$Z$8,$P104&gt;=0,$L104="Pendiente"),"Salida próxima: comprobar",IF(AND($P104&lt;0,$L104="Pendiente"),"Salida pasada: comprobar","")))))))))))</f>
        <v/>
      </c>
      <c r="R104">
        <f>IFERROR(INDEX('Parámetros'!$E$4:$E$8,97),"")</f>
        <v/>
      </c>
      <c r="S104">
        <f>IFERROR(INDEX('Parámetros'!$F$4:$F$7,97),"")</f>
        <v/>
      </c>
      <c r="T104">
        <f>IFERROR(INDEX('Parámetros'!$G$4:$G$6,97),"")</f>
        <v/>
      </c>
    </row>
    <row r="105" ht="32" customHeight="1">
      <c r="A105" s="17" t="n"/>
      <c r="B105" s="35" t="n"/>
      <c r="C105" s="35" t="n"/>
      <c r="D105" s="19" t="n"/>
      <c r="E105" s="17" t="n"/>
      <c r="F105" s="19" t="n"/>
      <c r="G105" s="20" t="n"/>
      <c r="H105" s="36" t="n"/>
      <c r="I105" s="19" t="n"/>
      <c r="J105" s="19" t="n"/>
      <c r="K105" s="17" t="n"/>
      <c r="L105" s="17" t="n"/>
      <c r="M105" s="35" t="n"/>
      <c r="N105" s="36" t="n"/>
      <c r="O105" s="33">
        <f>IF($A105="","",IF(AND(ISNUMBER($H105),ISNUMBER($N105)),$N105-$H105,""))</f>
        <v/>
      </c>
      <c r="P105" s="34">
        <f>IF(OR($A105="",NOT(ISNUMBER($C105))),"",$C105-TODAY())</f>
        <v/>
      </c>
      <c r="Q105" s="25">
        <f>IF($A105="","",IF(OR(NOT(ISNUMBER($B105)),NOT(ISNUMBER($C105))),"Completar fechas",IF(OR($D105="",$E105="",$F105="",$I105="",$J105="",$K105="",$L105="",NOT(ISNUMBER($G105)),NOT(ISNUMBER($H105))),"Completar datos",IF($C105&lt;$B105,"Revisar fechas",IF(AND($L105="Aplicado",NOT(ISNUMBER($M105))),"Falta fecha de aplicación",IF(AND($L105="Aplicado",NOT(ISNUMBER($N105))),"Falta importe final",IF(AND($L105&lt;&gt;"Aplicado",ISNUMBER($M105)),"Revisar fecha de aplicación",IF(AND($K105="Rechazado",$L105&lt;&gt;"Cancelado"),"Revisar estados",IF(AND($H105&gt;=$Y$8,$K105="Pendiente"),"Revisar aprobación",IF(AND($P105&lt;=$Z$8,$P105&gt;=0,$L105="Pendiente"),"Salida próxima: comprobar",IF(AND($P105&lt;0,$L105="Pendiente"),"Salida pasada: comprobar","")))))))))))</f>
        <v/>
      </c>
      <c r="R105">
        <f>IFERROR(INDEX('Parámetros'!$E$4:$E$8,98),"")</f>
        <v/>
      </c>
      <c r="S105">
        <f>IFERROR(INDEX('Parámetros'!$F$4:$F$7,98),"")</f>
        <v/>
      </c>
      <c r="T105">
        <f>IFERROR(INDEX('Parámetros'!$G$4:$G$6,98),"")</f>
        <v/>
      </c>
    </row>
    <row r="106" ht="32" customHeight="1">
      <c r="A106" s="17" t="n"/>
      <c r="B106" s="35" t="n"/>
      <c r="C106" s="35" t="n"/>
      <c r="D106" s="19" t="n"/>
      <c r="E106" s="17" t="n"/>
      <c r="F106" s="19" t="n"/>
      <c r="G106" s="20" t="n"/>
      <c r="H106" s="36" t="n"/>
      <c r="I106" s="19" t="n"/>
      <c r="J106" s="19" t="n"/>
      <c r="K106" s="17" t="n"/>
      <c r="L106" s="17" t="n"/>
      <c r="M106" s="35" t="n"/>
      <c r="N106" s="36" t="n"/>
      <c r="O106" s="37">
        <f>IF($A106="","",IF(AND(ISNUMBER($H106),ISNUMBER($N106)),$N106-$H106,""))</f>
        <v/>
      </c>
      <c r="P106" s="38">
        <f>IF(OR($A106="",NOT(ISNUMBER($C106))),"",$C106-TODAY())</f>
        <v/>
      </c>
      <c r="Q106" s="24">
        <f>IF($A106="","",IF(OR(NOT(ISNUMBER($B106)),NOT(ISNUMBER($C106))),"Completar fechas",IF(OR($D106="",$E106="",$F106="",$I106="",$J106="",$K106="",$L106="",NOT(ISNUMBER($G106)),NOT(ISNUMBER($H106))),"Completar datos",IF($C106&lt;$B106,"Revisar fechas",IF(AND($L106="Aplicado",NOT(ISNUMBER($M106))),"Falta fecha de aplicación",IF(AND($L106="Aplicado",NOT(ISNUMBER($N106))),"Falta importe final",IF(AND($L106&lt;&gt;"Aplicado",ISNUMBER($M106)),"Revisar fecha de aplicación",IF(AND($K106="Rechazado",$L106&lt;&gt;"Cancelado"),"Revisar estados",IF(AND($H106&gt;=$Y$8,$K106="Pendiente"),"Revisar aprobación",IF(AND($P106&lt;=$Z$8,$P106&gt;=0,$L106="Pendiente"),"Salida próxima: comprobar",IF(AND($P106&lt;0,$L106="Pendiente"),"Salida pasada: comprobar","")))))))))))</f>
        <v/>
      </c>
      <c r="R106">
        <f>IFERROR(INDEX('Parámetros'!$E$4:$E$8,99),"")</f>
        <v/>
      </c>
      <c r="S106">
        <f>IFERROR(INDEX('Parámetros'!$F$4:$F$7,99),"")</f>
        <v/>
      </c>
      <c r="T106">
        <f>IFERROR(INDEX('Parámetros'!$G$4:$G$6,99),"")</f>
        <v/>
      </c>
    </row>
    <row r="107" ht="32" customHeight="1">
      <c r="A107" s="17" t="n"/>
      <c r="B107" s="35" t="n"/>
      <c r="C107" s="35" t="n"/>
      <c r="D107" s="19" t="n"/>
      <c r="E107" s="17" t="n"/>
      <c r="F107" s="19" t="n"/>
      <c r="G107" s="20" t="n"/>
      <c r="H107" s="36" t="n"/>
      <c r="I107" s="19" t="n"/>
      <c r="J107" s="19" t="n"/>
      <c r="K107" s="17" t="n"/>
      <c r="L107" s="17" t="n"/>
      <c r="M107" s="35" t="n"/>
      <c r="N107" s="36" t="n"/>
      <c r="O107" s="33">
        <f>IF($A107="","",IF(AND(ISNUMBER($H107),ISNUMBER($N107)),$N107-$H107,""))</f>
        <v/>
      </c>
      <c r="P107" s="34">
        <f>IF(OR($A107="",NOT(ISNUMBER($C107))),"",$C107-TODAY())</f>
        <v/>
      </c>
      <c r="Q107" s="25">
        <f>IF($A107="","",IF(OR(NOT(ISNUMBER($B107)),NOT(ISNUMBER($C107))),"Completar fechas",IF(OR($D107="",$E107="",$F107="",$I107="",$J107="",$K107="",$L107="",NOT(ISNUMBER($G107)),NOT(ISNUMBER($H107))),"Completar datos",IF($C107&lt;$B107,"Revisar fechas",IF(AND($L107="Aplicado",NOT(ISNUMBER($M107))),"Falta fecha de aplicación",IF(AND($L107="Aplicado",NOT(ISNUMBER($N107))),"Falta importe final",IF(AND($L107&lt;&gt;"Aplicado",ISNUMBER($M107)),"Revisar fecha de aplicación",IF(AND($K107="Rechazado",$L107&lt;&gt;"Cancelado"),"Revisar estados",IF(AND($H107&gt;=$Y$8,$K107="Pendiente"),"Revisar aprobación",IF(AND($P107&lt;=$Z$8,$P107&gt;=0,$L107="Pendiente"),"Salida próxima: comprobar",IF(AND($P107&lt;0,$L107="Pendiente"),"Salida pasada: comprobar","")))))))))))</f>
        <v/>
      </c>
      <c r="R107">
        <f>IFERROR(INDEX('Parámetros'!$E$4:$E$8,100),"")</f>
        <v/>
      </c>
      <c r="S107">
        <f>IFERROR(INDEX('Parámetros'!$F$4:$F$7,100),"")</f>
        <v/>
      </c>
      <c r="T107">
        <f>IFERROR(INDEX('Parámetros'!$G$4:$G$6,100),"")</f>
        <v/>
      </c>
    </row>
    <row r="108" ht="32" customHeight="1">
      <c r="A108" s="17" t="n"/>
      <c r="B108" s="35" t="n"/>
      <c r="C108" s="35" t="n"/>
      <c r="D108" s="19" t="n"/>
      <c r="E108" s="17" t="n"/>
      <c r="F108" s="19" t="n"/>
      <c r="G108" s="20" t="n"/>
      <c r="H108" s="36" t="n"/>
      <c r="I108" s="19" t="n"/>
      <c r="J108" s="19" t="n"/>
      <c r="K108" s="17" t="n"/>
      <c r="L108" s="17" t="n"/>
      <c r="M108" s="35" t="n"/>
      <c r="N108" s="36" t="n"/>
      <c r="O108" s="37">
        <f>IF($A108="","",IF(AND(ISNUMBER($H108),ISNUMBER($N108)),$N108-$H108,""))</f>
        <v/>
      </c>
      <c r="P108" s="38">
        <f>IF(OR($A108="",NOT(ISNUMBER($C108))),"",$C108-TODAY())</f>
        <v/>
      </c>
      <c r="Q108" s="24">
        <f>IF($A108="","",IF(OR(NOT(ISNUMBER($B108)),NOT(ISNUMBER($C108))),"Completar fechas",IF(OR($D108="",$E108="",$F108="",$I108="",$J108="",$K108="",$L108="",NOT(ISNUMBER($G108)),NOT(ISNUMBER($H108))),"Completar datos",IF($C108&lt;$B108,"Revisar fechas",IF(AND($L108="Aplicado",NOT(ISNUMBER($M108))),"Falta fecha de aplicación",IF(AND($L108="Aplicado",NOT(ISNUMBER($N108))),"Falta importe final",IF(AND($L108&lt;&gt;"Aplicado",ISNUMBER($M108)),"Revisar fecha de aplicación",IF(AND($K108="Rechazado",$L108&lt;&gt;"Cancelado"),"Revisar estados",IF(AND($H108&gt;=$Y$8,$K108="Pendiente"),"Revisar aprobación",IF(AND($P108&lt;=$Z$8,$P108&gt;=0,$L108="Pendiente"),"Salida próxima: comprobar",IF(AND($P108&lt;0,$L108="Pendiente"),"Salida pasada: comprobar","")))))))))))</f>
        <v/>
      </c>
      <c r="R108">
        <f>IFERROR(INDEX('Parámetros'!$E$4:$E$8,101),"")</f>
        <v/>
      </c>
      <c r="S108">
        <f>IFERROR(INDEX('Parámetros'!$F$4:$F$7,101),"")</f>
        <v/>
      </c>
      <c r="T108">
        <f>IFERROR(INDEX('Parámetros'!$G$4:$G$6,101),"")</f>
        <v/>
      </c>
    </row>
    <row r="109" ht="32" customHeight="1">
      <c r="A109" s="17" t="n"/>
      <c r="B109" s="35" t="n"/>
      <c r="C109" s="35" t="n"/>
      <c r="D109" s="19" t="n"/>
      <c r="E109" s="17" t="n"/>
      <c r="F109" s="19" t="n"/>
      <c r="G109" s="20" t="n"/>
      <c r="H109" s="36" t="n"/>
      <c r="I109" s="19" t="n"/>
      <c r="J109" s="19" t="n"/>
      <c r="K109" s="17" t="n"/>
      <c r="L109" s="17" t="n"/>
      <c r="M109" s="35" t="n"/>
      <c r="N109" s="36" t="n"/>
      <c r="O109" s="33">
        <f>IF($A109="","",IF(AND(ISNUMBER($H109),ISNUMBER($N109)),$N109-$H109,""))</f>
        <v/>
      </c>
      <c r="P109" s="34">
        <f>IF(OR($A109="",NOT(ISNUMBER($C109))),"",$C109-TODAY())</f>
        <v/>
      </c>
      <c r="Q109" s="25">
        <f>IF($A109="","",IF(OR(NOT(ISNUMBER($B109)),NOT(ISNUMBER($C109))),"Completar fechas",IF(OR($D109="",$E109="",$F109="",$I109="",$J109="",$K109="",$L109="",NOT(ISNUMBER($G109)),NOT(ISNUMBER($H109))),"Completar datos",IF($C109&lt;$B109,"Revisar fechas",IF(AND($L109="Aplicado",NOT(ISNUMBER($M109))),"Falta fecha de aplicación",IF(AND($L109="Aplicado",NOT(ISNUMBER($N109))),"Falta importe final",IF(AND($L109&lt;&gt;"Aplicado",ISNUMBER($M109)),"Revisar fecha de aplicación",IF(AND($K109="Rechazado",$L109&lt;&gt;"Cancelado"),"Revisar estados",IF(AND($H109&gt;=$Y$8,$K109="Pendiente"),"Revisar aprobación",IF(AND($P109&lt;=$Z$8,$P109&gt;=0,$L109="Pendiente"),"Salida próxima: comprobar",IF(AND($P109&lt;0,$L109="Pendiente"),"Salida pasada: comprobar","")))))))))))</f>
        <v/>
      </c>
      <c r="R109">
        <f>IFERROR(INDEX('Parámetros'!$E$4:$E$8,102),"")</f>
        <v/>
      </c>
      <c r="S109">
        <f>IFERROR(INDEX('Parámetros'!$F$4:$F$7,102),"")</f>
        <v/>
      </c>
      <c r="T109">
        <f>IFERROR(INDEX('Parámetros'!$G$4:$G$6,102),"")</f>
        <v/>
      </c>
    </row>
    <row r="110" ht="32" customHeight="1">
      <c r="A110" s="17" t="n"/>
      <c r="B110" s="35" t="n"/>
      <c r="C110" s="35" t="n"/>
      <c r="D110" s="19" t="n"/>
      <c r="E110" s="17" t="n"/>
      <c r="F110" s="19" t="n"/>
      <c r="G110" s="20" t="n"/>
      <c r="H110" s="36" t="n"/>
      <c r="I110" s="19" t="n"/>
      <c r="J110" s="19" t="n"/>
      <c r="K110" s="17" t="n"/>
      <c r="L110" s="17" t="n"/>
      <c r="M110" s="35" t="n"/>
      <c r="N110" s="36" t="n"/>
      <c r="O110" s="37">
        <f>IF($A110="","",IF(AND(ISNUMBER($H110),ISNUMBER($N110)),$N110-$H110,""))</f>
        <v/>
      </c>
      <c r="P110" s="38">
        <f>IF(OR($A110="",NOT(ISNUMBER($C110))),"",$C110-TODAY())</f>
        <v/>
      </c>
      <c r="Q110" s="24">
        <f>IF($A110="","",IF(OR(NOT(ISNUMBER($B110)),NOT(ISNUMBER($C110))),"Completar fechas",IF(OR($D110="",$E110="",$F110="",$I110="",$J110="",$K110="",$L110="",NOT(ISNUMBER($G110)),NOT(ISNUMBER($H110))),"Completar datos",IF($C110&lt;$B110,"Revisar fechas",IF(AND($L110="Aplicado",NOT(ISNUMBER($M110))),"Falta fecha de aplicación",IF(AND($L110="Aplicado",NOT(ISNUMBER($N110))),"Falta importe final",IF(AND($L110&lt;&gt;"Aplicado",ISNUMBER($M110)),"Revisar fecha de aplicación",IF(AND($K110="Rechazado",$L110&lt;&gt;"Cancelado"),"Revisar estados",IF(AND($H110&gt;=$Y$8,$K110="Pendiente"),"Revisar aprobación",IF(AND($P110&lt;=$Z$8,$P110&gt;=0,$L110="Pendiente"),"Salida próxima: comprobar",IF(AND($P110&lt;0,$L110="Pendiente"),"Salida pasada: comprobar","")))))))))))</f>
        <v/>
      </c>
      <c r="R110">
        <f>IFERROR(INDEX('Parámetros'!$E$4:$E$8,103),"")</f>
        <v/>
      </c>
      <c r="S110">
        <f>IFERROR(INDEX('Parámetros'!$F$4:$F$7,103),"")</f>
        <v/>
      </c>
      <c r="T110">
        <f>IFERROR(INDEX('Parámetros'!$G$4:$G$6,103),"")</f>
        <v/>
      </c>
    </row>
    <row r="111" ht="32" customHeight="1">
      <c r="A111" s="17" t="n"/>
      <c r="B111" s="35" t="n"/>
      <c r="C111" s="35" t="n"/>
      <c r="D111" s="19" t="n"/>
      <c r="E111" s="17" t="n"/>
      <c r="F111" s="19" t="n"/>
      <c r="G111" s="20" t="n"/>
      <c r="H111" s="36" t="n"/>
      <c r="I111" s="19" t="n"/>
      <c r="J111" s="19" t="n"/>
      <c r="K111" s="17" t="n"/>
      <c r="L111" s="17" t="n"/>
      <c r="M111" s="35" t="n"/>
      <c r="N111" s="36" t="n"/>
      <c r="O111" s="33">
        <f>IF($A111="","",IF(AND(ISNUMBER($H111),ISNUMBER($N111)),$N111-$H111,""))</f>
        <v/>
      </c>
      <c r="P111" s="34">
        <f>IF(OR($A111="",NOT(ISNUMBER($C111))),"",$C111-TODAY())</f>
        <v/>
      </c>
      <c r="Q111" s="25">
        <f>IF($A111="","",IF(OR(NOT(ISNUMBER($B111)),NOT(ISNUMBER($C111))),"Completar fechas",IF(OR($D111="",$E111="",$F111="",$I111="",$J111="",$K111="",$L111="",NOT(ISNUMBER($G111)),NOT(ISNUMBER($H111))),"Completar datos",IF($C111&lt;$B111,"Revisar fechas",IF(AND($L111="Aplicado",NOT(ISNUMBER($M111))),"Falta fecha de aplicación",IF(AND($L111="Aplicado",NOT(ISNUMBER($N111))),"Falta importe final",IF(AND($L111&lt;&gt;"Aplicado",ISNUMBER($M111)),"Revisar fecha de aplicación",IF(AND($K111="Rechazado",$L111&lt;&gt;"Cancelado"),"Revisar estados",IF(AND($H111&gt;=$Y$8,$K111="Pendiente"),"Revisar aprobación",IF(AND($P111&lt;=$Z$8,$P111&gt;=0,$L111="Pendiente"),"Salida próxima: comprobar",IF(AND($P111&lt;0,$L111="Pendiente"),"Salida pasada: comprobar","")))))))))))</f>
        <v/>
      </c>
      <c r="R111">
        <f>IFERROR(INDEX('Parámetros'!$E$4:$E$8,104),"")</f>
        <v/>
      </c>
      <c r="S111">
        <f>IFERROR(INDEX('Parámetros'!$F$4:$F$7,104),"")</f>
        <v/>
      </c>
      <c r="T111">
        <f>IFERROR(INDEX('Parámetros'!$G$4:$G$6,104),"")</f>
        <v/>
      </c>
    </row>
    <row r="112" ht="32" customHeight="1">
      <c r="A112" s="17" t="n"/>
      <c r="B112" s="35" t="n"/>
      <c r="C112" s="35" t="n"/>
      <c r="D112" s="19" t="n"/>
      <c r="E112" s="17" t="n"/>
      <c r="F112" s="19" t="n"/>
      <c r="G112" s="20" t="n"/>
      <c r="H112" s="36" t="n"/>
      <c r="I112" s="19" t="n"/>
      <c r="J112" s="19" t="n"/>
      <c r="K112" s="17" t="n"/>
      <c r="L112" s="17" t="n"/>
      <c r="M112" s="35" t="n"/>
      <c r="N112" s="36" t="n"/>
      <c r="O112" s="37">
        <f>IF($A112="","",IF(AND(ISNUMBER($H112),ISNUMBER($N112)),$N112-$H112,""))</f>
        <v/>
      </c>
      <c r="P112" s="38">
        <f>IF(OR($A112="",NOT(ISNUMBER($C112))),"",$C112-TODAY())</f>
        <v/>
      </c>
      <c r="Q112" s="24">
        <f>IF($A112="","",IF(OR(NOT(ISNUMBER($B112)),NOT(ISNUMBER($C112))),"Completar fechas",IF(OR($D112="",$E112="",$F112="",$I112="",$J112="",$K112="",$L112="",NOT(ISNUMBER($G112)),NOT(ISNUMBER($H112))),"Completar datos",IF($C112&lt;$B112,"Revisar fechas",IF(AND($L112="Aplicado",NOT(ISNUMBER($M112))),"Falta fecha de aplicación",IF(AND($L112="Aplicado",NOT(ISNUMBER($N112))),"Falta importe final",IF(AND($L112&lt;&gt;"Aplicado",ISNUMBER($M112)),"Revisar fecha de aplicación",IF(AND($K112="Rechazado",$L112&lt;&gt;"Cancelado"),"Revisar estados",IF(AND($H112&gt;=$Y$8,$K112="Pendiente"),"Revisar aprobación",IF(AND($P112&lt;=$Z$8,$P112&gt;=0,$L112="Pendiente"),"Salida próxima: comprobar",IF(AND($P112&lt;0,$L112="Pendiente"),"Salida pasada: comprobar","")))))))))))</f>
        <v/>
      </c>
      <c r="R112">
        <f>IFERROR(INDEX('Parámetros'!$E$4:$E$8,105),"")</f>
        <v/>
      </c>
      <c r="S112">
        <f>IFERROR(INDEX('Parámetros'!$F$4:$F$7,105),"")</f>
        <v/>
      </c>
      <c r="T112">
        <f>IFERROR(INDEX('Parámetros'!$G$4:$G$6,105),"")</f>
        <v/>
      </c>
    </row>
    <row r="113" ht="32" customHeight="1">
      <c r="A113" s="17" t="n"/>
      <c r="B113" s="35" t="n"/>
      <c r="C113" s="35" t="n"/>
      <c r="D113" s="19" t="n"/>
      <c r="E113" s="17" t="n"/>
      <c r="F113" s="19" t="n"/>
      <c r="G113" s="20" t="n"/>
      <c r="H113" s="36" t="n"/>
      <c r="I113" s="19" t="n"/>
      <c r="J113" s="19" t="n"/>
      <c r="K113" s="17" t="n"/>
      <c r="L113" s="17" t="n"/>
      <c r="M113" s="35" t="n"/>
      <c r="N113" s="36" t="n"/>
      <c r="O113" s="33">
        <f>IF($A113="","",IF(AND(ISNUMBER($H113),ISNUMBER($N113)),$N113-$H113,""))</f>
        <v/>
      </c>
      <c r="P113" s="34">
        <f>IF(OR($A113="",NOT(ISNUMBER($C113))),"",$C113-TODAY())</f>
        <v/>
      </c>
      <c r="Q113" s="25">
        <f>IF($A113="","",IF(OR(NOT(ISNUMBER($B113)),NOT(ISNUMBER($C113))),"Completar fechas",IF(OR($D113="",$E113="",$F113="",$I113="",$J113="",$K113="",$L113="",NOT(ISNUMBER($G113)),NOT(ISNUMBER($H113))),"Completar datos",IF($C113&lt;$B113,"Revisar fechas",IF(AND($L113="Aplicado",NOT(ISNUMBER($M113))),"Falta fecha de aplicación",IF(AND($L113="Aplicado",NOT(ISNUMBER($N113))),"Falta importe final",IF(AND($L113&lt;&gt;"Aplicado",ISNUMBER($M113)),"Revisar fecha de aplicación",IF(AND($K113="Rechazado",$L113&lt;&gt;"Cancelado"),"Revisar estados",IF(AND($H113&gt;=$Y$8,$K113="Pendiente"),"Revisar aprobación",IF(AND($P113&lt;=$Z$8,$P113&gt;=0,$L113="Pendiente"),"Salida próxima: comprobar",IF(AND($P113&lt;0,$L113="Pendiente"),"Salida pasada: comprobar","")))))))))))</f>
        <v/>
      </c>
      <c r="R113">
        <f>IFERROR(INDEX('Parámetros'!$E$4:$E$8,106),"")</f>
        <v/>
      </c>
      <c r="S113">
        <f>IFERROR(INDEX('Parámetros'!$F$4:$F$7,106),"")</f>
        <v/>
      </c>
      <c r="T113">
        <f>IFERROR(INDEX('Parámetros'!$G$4:$G$6,106),"")</f>
        <v/>
      </c>
    </row>
    <row r="114" ht="32" customHeight="1">
      <c r="A114" s="17" t="n"/>
      <c r="B114" s="35" t="n"/>
      <c r="C114" s="35" t="n"/>
      <c r="D114" s="19" t="n"/>
      <c r="E114" s="17" t="n"/>
      <c r="F114" s="19" t="n"/>
      <c r="G114" s="20" t="n"/>
      <c r="H114" s="36" t="n"/>
      <c r="I114" s="19" t="n"/>
      <c r="J114" s="19" t="n"/>
      <c r="K114" s="17" t="n"/>
      <c r="L114" s="17" t="n"/>
      <c r="M114" s="35" t="n"/>
      <c r="N114" s="36" t="n"/>
      <c r="O114" s="37">
        <f>IF($A114="","",IF(AND(ISNUMBER($H114),ISNUMBER($N114)),$N114-$H114,""))</f>
        <v/>
      </c>
      <c r="P114" s="38">
        <f>IF(OR($A114="",NOT(ISNUMBER($C114))),"",$C114-TODAY())</f>
        <v/>
      </c>
      <c r="Q114" s="24">
        <f>IF($A114="","",IF(OR(NOT(ISNUMBER($B114)),NOT(ISNUMBER($C114))),"Completar fechas",IF(OR($D114="",$E114="",$F114="",$I114="",$J114="",$K114="",$L114="",NOT(ISNUMBER($G114)),NOT(ISNUMBER($H114))),"Completar datos",IF($C114&lt;$B114,"Revisar fechas",IF(AND($L114="Aplicado",NOT(ISNUMBER($M114))),"Falta fecha de aplicación",IF(AND($L114="Aplicado",NOT(ISNUMBER($N114))),"Falta importe final",IF(AND($L114&lt;&gt;"Aplicado",ISNUMBER($M114)),"Revisar fecha de aplicación",IF(AND($K114="Rechazado",$L114&lt;&gt;"Cancelado"),"Revisar estados",IF(AND($H114&gt;=$Y$8,$K114="Pendiente"),"Revisar aprobación",IF(AND($P114&lt;=$Z$8,$P114&gt;=0,$L114="Pendiente"),"Salida próxima: comprobar",IF(AND($P114&lt;0,$L114="Pendiente"),"Salida pasada: comprobar","")))))))))))</f>
        <v/>
      </c>
      <c r="R114">
        <f>IFERROR(INDEX('Parámetros'!$E$4:$E$8,107),"")</f>
        <v/>
      </c>
      <c r="S114">
        <f>IFERROR(INDEX('Parámetros'!$F$4:$F$7,107),"")</f>
        <v/>
      </c>
      <c r="T114">
        <f>IFERROR(INDEX('Parámetros'!$G$4:$G$6,107),"")</f>
        <v/>
      </c>
    </row>
    <row r="115" ht="32" customHeight="1">
      <c r="A115" s="17" t="n"/>
      <c r="B115" s="35" t="n"/>
      <c r="C115" s="35" t="n"/>
      <c r="D115" s="19" t="n"/>
      <c r="E115" s="17" t="n"/>
      <c r="F115" s="19" t="n"/>
      <c r="G115" s="20" t="n"/>
      <c r="H115" s="36" t="n"/>
      <c r="I115" s="19" t="n"/>
      <c r="J115" s="19" t="n"/>
      <c r="K115" s="17" t="n"/>
      <c r="L115" s="17" t="n"/>
      <c r="M115" s="35" t="n"/>
      <c r="N115" s="36" t="n"/>
      <c r="O115" s="33">
        <f>IF($A115="","",IF(AND(ISNUMBER($H115),ISNUMBER($N115)),$N115-$H115,""))</f>
        <v/>
      </c>
      <c r="P115" s="34">
        <f>IF(OR($A115="",NOT(ISNUMBER($C115))),"",$C115-TODAY())</f>
        <v/>
      </c>
      <c r="Q115" s="25">
        <f>IF($A115="","",IF(OR(NOT(ISNUMBER($B115)),NOT(ISNUMBER($C115))),"Completar fechas",IF(OR($D115="",$E115="",$F115="",$I115="",$J115="",$K115="",$L115="",NOT(ISNUMBER($G115)),NOT(ISNUMBER($H115))),"Completar datos",IF($C115&lt;$B115,"Revisar fechas",IF(AND($L115="Aplicado",NOT(ISNUMBER($M115))),"Falta fecha de aplicación",IF(AND($L115="Aplicado",NOT(ISNUMBER($N115))),"Falta importe final",IF(AND($L115&lt;&gt;"Aplicado",ISNUMBER($M115)),"Revisar fecha de aplicación",IF(AND($K115="Rechazado",$L115&lt;&gt;"Cancelado"),"Revisar estados",IF(AND($H115&gt;=$Y$8,$K115="Pendiente"),"Revisar aprobación",IF(AND($P115&lt;=$Z$8,$P115&gt;=0,$L115="Pendiente"),"Salida próxima: comprobar",IF(AND($P115&lt;0,$L115="Pendiente"),"Salida pasada: comprobar","")))))))))))</f>
        <v/>
      </c>
      <c r="R115">
        <f>IFERROR(INDEX('Parámetros'!$E$4:$E$8,108),"")</f>
        <v/>
      </c>
      <c r="S115">
        <f>IFERROR(INDEX('Parámetros'!$F$4:$F$7,108),"")</f>
        <v/>
      </c>
      <c r="T115">
        <f>IFERROR(INDEX('Parámetros'!$G$4:$G$6,108),"")</f>
        <v/>
      </c>
    </row>
    <row r="116" ht="32" customHeight="1">
      <c r="A116" s="17" t="n"/>
      <c r="B116" s="35" t="n"/>
      <c r="C116" s="35" t="n"/>
      <c r="D116" s="19" t="n"/>
      <c r="E116" s="17" t="n"/>
      <c r="F116" s="19" t="n"/>
      <c r="G116" s="20" t="n"/>
      <c r="H116" s="36" t="n"/>
      <c r="I116" s="19" t="n"/>
      <c r="J116" s="19" t="n"/>
      <c r="K116" s="17" t="n"/>
      <c r="L116" s="17" t="n"/>
      <c r="M116" s="35" t="n"/>
      <c r="N116" s="36" t="n"/>
      <c r="O116" s="37">
        <f>IF($A116="","",IF(AND(ISNUMBER($H116),ISNUMBER($N116)),$N116-$H116,""))</f>
        <v/>
      </c>
      <c r="P116" s="38">
        <f>IF(OR($A116="",NOT(ISNUMBER($C116))),"",$C116-TODAY())</f>
        <v/>
      </c>
      <c r="Q116" s="24">
        <f>IF($A116="","",IF(OR(NOT(ISNUMBER($B116)),NOT(ISNUMBER($C116))),"Completar fechas",IF(OR($D116="",$E116="",$F116="",$I116="",$J116="",$K116="",$L116="",NOT(ISNUMBER($G116)),NOT(ISNUMBER($H116))),"Completar datos",IF($C116&lt;$B116,"Revisar fechas",IF(AND($L116="Aplicado",NOT(ISNUMBER($M116))),"Falta fecha de aplicación",IF(AND($L116="Aplicado",NOT(ISNUMBER($N116))),"Falta importe final",IF(AND($L116&lt;&gt;"Aplicado",ISNUMBER($M116)),"Revisar fecha de aplicación",IF(AND($K116="Rechazado",$L116&lt;&gt;"Cancelado"),"Revisar estados",IF(AND($H116&gt;=$Y$8,$K116="Pendiente"),"Revisar aprobación",IF(AND($P116&lt;=$Z$8,$P116&gt;=0,$L116="Pendiente"),"Salida próxima: comprobar",IF(AND($P116&lt;0,$L116="Pendiente"),"Salida pasada: comprobar","")))))))))))</f>
        <v/>
      </c>
      <c r="R116">
        <f>IFERROR(INDEX('Parámetros'!$E$4:$E$8,109),"")</f>
        <v/>
      </c>
      <c r="S116">
        <f>IFERROR(INDEX('Parámetros'!$F$4:$F$7,109),"")</f>
        <v/>
      </c>
      <c r="T116">
        <f>IFERROR(INDEX('Parámetros'!$G$4:$G$6,109),"")</f>
        <v/>
      </c>
    </row>
    <row r="117" ht="32" customHeight="1">
      <c r="A117" s="17" t="n"/>
      <c r="B117" s="35" t="n"/>
      <c r="C117" s="35" t="n"/>
      <c r="D117" s="19" t="n"/>
      <c r="E117" s="17" t="n"/>
      <c r="F117" s="19" t="n"/>
      <c r="G117" s="20" t="n"/>
      <c r="H117" s="36" t="n"/>
      <c r="I117" s="19" t="n"/>
      <c r="J117" s="19" t="n"/>
      <c r="K117" s="17" t="n"/>
      <c r="L117" s="17" t="n"/>
      <c r="M117" s="35" t="n"/>
      <c r="N117" s="36" t="n"/>
      <c r="O117" s="33">
        <f>IF($A117="","",IF(AND(ISNUMBER($H117),ISNUMBER($N117)),$N117-$H117,""))</f>
        <v/>
      </c>
      <c r="P117" s="34">
        <f>IF(OR($A117="",NOT(ISNUMBER($C117))),"",$C117-TODAY())</f>
        <v/>
      </c>
      <c r="Q117" s="25">
        <f>IF($A117="","",IF(OR(NOT(ISNUMBER($B117)),NOT(ISNUMBER($C117))),"Completar fechas",IF(OR($D117="",$E117="",$F117="",$I117="",$J117="",$K117="",$L117="",NOT(ISNUMBER($G117)),NOT(ISNUMBER($H117))),"Completar datos",IF($C117&lt;$B117,"Revisar fechas",IF(AND($L117="Aplicado",NOT(ISNUMBER($M117))),"Falta fecha de aplicación",IF(AND($L117="Aplicado",NOT(ISNUMBER($N117))),"Falta importe final",IF(AND($L117&lt;&gt;"Aplicado",ISNUMBER($M117)),"Revisar fecha de aplicación",IF(AND($K117="Rechazado",$L117&lt;&gt;"Cancelado"),"Revisar estados",IF(AND($H117&gt;=$Y$8,$K117="Pendiente"),"Revisar aprobación",IF(AND($P117&lt;=$Z$8,$P117&gt;=0,$L117="Pendiente"),"Salida próxima: comprobar",IF(AND($P117&lt;0,$L117="Pendiente"),"Salida pasada: comprobar","")))))))))))</f>
        <v/>
      </c>
      <c r="R117">
        <f>IFERROR(INDEX('Parámetros'!$E$4:$E$8,110),"")</f>
        <v/>
      </c>
      <c r="S117">
        <f>IFERROR(INDEX('Parámetros'!$F$4:$F$7,110),"")</f>
        <v/>
      </c>
      <c r="T117">
        <f>IFERROR(INDEX('Parámetros'!$G$4:$G$6,110),"")</f>
        <v/>
      </c>
    </row>
    <row r="118" ht="32" customHeight="1">
      <c r="A118" s="17" t="n"/>
      <c r="B118" s="35" t="n"/>
      <c r="C118" s="35" t="n"/>
      <c r="D118" s="19" t="n"/>
      <c r="E118" s="17" t="n"/>
      <c r="F118" s="19" t="n"/>
      <c r="G118" s="20" t="n"/>
      <c r="H118" s="36" t="n"/>
      <c r="I118" s="19" t="n"/>
      <c r="J118" s="19" t="n"/>
      <c r="K118" s="17" t="n"/>
      <c r="L118" s="17" t="n"/>
      <c r="M118" s="35" t="n"/>
      <c r="N118" s="36" t="n"/>
      <c r="O118" s="37">
        <f>IF($A118="","",IF(AND(ISNUMBER($H118),ISNUMBER($N118)),$N118-$H118,""))</f>
        <v/>
      </c>
      <c r="P118" s="38">
        <f>IF(OR($A118="",NOT(ISNUMBER($C118))),"",$C118-TODAY())</f>
        <v/>
      </c>
      <c r="Q118" s="24">
        <f>IF($A118="","",IF(OR(NOT(ISNUMBER($B118)),NOT(ISNUMBER($C118))),"Completar fechas",IF(OR($D118="",$E118="",$F118="",$I118="",$J118="",$K118="",$L118="",NOT(ISNUMBER($G118)),NOT(ISNUMBER($H118))),"Completar datos",IF($C118&lt;$B118,"Revisar fechas",IF(AND($L118="Aplicado",NOT(ISNUMBER($M118))),"Falta fecha de aplicación",IF(AND($L118="Aplicado",NOT(ISNUMBER($N118))),"Falta importe final",IF(AND($L118&lt;&gt;"Aplicado",ISNUMBER($M118)),"Revisar fecha de aplicación",IF(AND($K118="Rechazado",$L118&lt;&gt;"Cancelado"),"Revisar estados",IF(AND($H118&gt;=$Y$8,$K118="Pendiente"),"Revisar aprobación",IF(AND($P118&lt;=$Z$8,$P118&gt;=0,$L118="Pendiente"),"Salida próxima: comprobar",IF(AND($P118&lt;0,$L118="Pendiente"),"Salida pasada: comprobar","")))))))))))</f>
        <v/>
      </c>
      <c r="R118">
        <f>IFERROR(INDEX('Parámetros'!$E$4:$E$8,111),"")</f>
        <v/>
      </c>
      <c r="S118">
        <f>IFERROR(INDEX('Parámetros'!$F$4:$F$7,111),"")</f>
        <v/>
      </c>
      <c r="T118">
        <f>IFERROR(INDEX('Parámetros'!$G$4:$G$6,111),"")</f>
        <v/>
      </c>
    </row>
    <row r="119" ht="32" customHeight="1">
      <c r="A119" s="17" t="n"/>
      <c r="B119" s="35" t="n"/>
      <c r="C119" s="35" t="n"/>
      <c r="D119" s="19" t="n"/>
      <c r="E119" s="17" t="n"/>
      <c r="F119" s="19" t="n"/>
      <c r="G119" s="20" t="n"/>
      <c r="H119" s="36" t="n"/>
      <c r="I119" s="19" t="n"/>
      <c r="J119" s="19" t="n"/>
      <c r="K119" s="17" t="n"/>
      <c r="L119" s="17" t="n"/>
      <c r="M119" s="35" t="n"/>
      <c r="N119" s="36" t="n"/>
      <c r="O119" s="33">
        <f>IF($A119="","",IF(AND(ISNUMBER($H119),ISNUMBER($N119)),$N119-$H119,""))</f>
        <v/>
      </c>
      <c r="P119" s="34">
        <f>IF(OR($A119="",NOT(ISNUMBER($C119))),"",$C119-TODAY())</f>
        <v/>
      </c>
      <c r="Q119" s="25">
        <f>IF($A119="","",IF(OR(NOT(ISNUMBER($B119)),NOT(ISNUMBER($C119))),"Completar fechas",IF(OR($D119="",$E119="",$F119="",$I119="",$J119="",$K119="",$L119="",NOT(ISNUMBER($G119)),NOT(ISNUMBER($H119))),"Completar datos",IF($C119&lt;$B119,"Revisar fechas",IF(AND($L119="Aplicado",NOT(ISNUMBER($M119))),"Falta fecha de aplicación",IF(AND($L119="Aplicado",NOT(ISNUMBER($N119))),"Falta importe final",IF(AND($L119&lt;&gt;"Aplicado",ISNUMBER($M119)),"Revisar fecha de aplicación",IF(AND($K119="Rechazado",$L119&lt;&gt;"Cancelado"),"Revisar estados",IF(AND($H119&gt;=$Y$8,$K119="Pendiente"),"Revisar aprobación",IF(AND($P119&lt;=$Z$8,$P119&gt;=0,$L119="Pendiente"),"Salida próxima: comprobar",IF(AND($P119&lt;0,$L119="Pendiente"),"Salida pasada: comprobar","")))))))))))</f>
        <v/>
      </c>
      <c r="R119">
        <f>IFERROR(INDEX('Parámetros'!$E$4:$E$8,112),"")</f>
        <v/>
      </c>
      <c r="S119">
        <f>IFERROR(INDEX('Parámetros'!$F$4:$F$7,112),"")</f>
        <v/>
      </c>
      <c r="T119">
        <f>IFERROR(INDEX('Parámetros'!$G$4:$G$6,112),"")</f>
        <v/>
      </c>
    </row>
    <row r="120" ht="32" customHeight="1">
      <c r="A120" s="17" t="n"/>
      <c r="B120" s="35" t="n"/>
      <c r="C120" s="35" t="n"/>
      <c r="D120" s="19" t="n"/>
      <c r="E120" s="17" t="n"/>
      <c r="F120" s="19" t="n"/>
      <c r="G120" s="20" t="n"/>
      <c r="H120" s="36" t="n"/>
      <c r="I120" s="19" t="n"/>
      <c r="J120" s="19" t="n"/>
      <c r="K120" s="17" t="n"/>
      <c r="L120" s="17" t="n"/>
      <c r="M120" s="35" t="n"/>
      <c r="N120" s="36" t="n"/>
      <c r="O120" s="37">
        <f>IF($A120="","",IF(AND(ISNUMBER($H120),ISNUMBER($N120)),$N120-$H120,""))</f>
        <v/>
      </c>
      <c r="P120" s="38">
        <f>IF(OR($A120="",NOT(ISNUMBER($C120))),"",$C120-TODAY())</f>
        <v/>
      </c>
      <c r="Q120" s="24">
        <f>IF($A120="","",IF(OR(NOT(ISNUMBER($B120)),NOT(ISNUMBER($C120))),"Completar fechas",IF(OR($D120="",$E120="",$F120="",$I120="",$J120="",$K120="",$L120="",NOT(ISNUMBER($G120)),NOT(ISNUMBER($H120))),"Completar datos",IF($C120&lt;$B120,"Revisar fechas",IF(AND($L120="Aplicado",NOT(ISNUMBER($M120))),"Falta fecha de aplicación",IF(AND($L120="Aplicado",NOT(ISNUMBER($N120))),"Falta importe final",IF(AND($L120&lt;&gt;"Aplicado",ISNUMBER($M120)),"Revisar fecha de aplicación",IF(AND($K120="Rechazado",$L120&lt;&gt;"Cancelado"),"Revisar estados",IF(AND($H120&gt;=$Y$8,$K120="Pendiente"),"Revisar aprobación",IF(AND($P120&lt;=$Z$8,$P120&gt;=0,$L120="Pendiente"),"Salida próxima: comprobar",IF(AND($P120&lt;0,$L120="Pendiente"),"Salida pasada: comprobar","")))))))))))</f>
        <v/>
      </c>
      <c r="R120">
        <f>IFERROR(INDEX('Parámetros'!$E$4:$E$8,113),"")</f>
        <v/>
      </c>
      <c r="S120">
        <f>IFERROR(INDEX('Parámetros'!$F$4:$F$7,113),"")</f>
        <v/>
      </c>
      <c r="T120">
        <f>IFERROR(INDEX('Parámetros'!$G$4:$G$6,113),"")</f>
        <v/>
      </c>
    </row>
    <row r="121" ht="32" customHeight="1">
      <c r="A121" s="17" t="n"/>
      <c r="B121" s="35" t="n"/>
      <c r="C121" s="35" t="n"/>
      <c r="D121" s="19" t="n"/>
      <c r="E121" s="17" t="n"/>
      <c r="F121" s="19" t="n"/>
      <c r="G121" s="20" t="n"/>
      <c r="H121" s="36" t="n"/>
      <c r="I121" s="19" t="n"/>
      <c r="J121" s="19" t="n"/>
      <c r="K121" s="17" t="n"/>
      <c r="L121" s="17" t="n"/>
      <c r="M121" s="35" t="n"/>
      <c r="N121" s="36" t="n"/>
      <c r="O121" s="33">
        <f>IF($A121="","",IF(AND(ISNUMBER($H121),ISNUMBER($N121)),$N121-$H121,""))</f>
        <v/>
      </c>
      <c r="P121" s="34">
        <f>IF(OR($A121="",NOT(ISNUMBER($C121))),"",$C121-TODAY())</f>
        <v/>
      </c>
      <c r="Q121" s="25">
        <f>IF($A121="","",IF(OR(NOT(ISNUMBER($B121)),NOT(ISNUMBER($C121))),"Completar fechas",IF(OR($D121="",$E121="",$F121="",$I121="",$J121="",$K121="",$L121="",NOT(ISNUMBER($G121)),NOT(ISNUMBER($H121))),"Completar datos",IF($C121&lt;$B121,"Revisar fechas",IF(AND($L121="Aplicado",NOT(ISNUMBER($M121))),"Falta fecha de aplicación",IF(AND($L121="Aplicado",NOT(ISNUMBER($N121))),"Falta importe final",IF(AND($L121&lt;&gt;"Aplicado",ISNUMBER($M121)),"Revisar fecha de aplicación",IF(AND($K121="Rechazado",$L121&lt;&gt;"Cancelado"),"Revisar estados",IF(AND($H121&gt;=$Y$8,$K121="Pendiente"),"Revisar aprobación",IF(AND($P121&lt;=$Z$8,$P121&gt;=0,$L121="Pendiente"),"Salida próxima: comprobar",IF(AND($P121&lt;0,$L121="Pendiente"),"Salida pasada: comprobar","")))))))))))</f>
        <v/>
      </c>
      <c r="R121">
        <f>IFERROR(INDEX('Parámetros'!$E$4:$E$8,114),"")</f>
        <v/>
      </c>
      <c r="S121">
        <f>IFERROR(INDEX('Parámetros'!$F$4:$F$7,114),"")</f>
        <v/>
      </c>
      <c r="T121">
        <f>IFERROR(INDEX('Parámetros'!$G$4:$G$6,114),"")</f>
        <v/>
      </c>
    </row>
    <row r="122" ht="32" customHeight="1">
      <c r="A122" s="17" t="n"/>
      <c r="B122" s="35" t="n"/>
      <c r="C122" s="35" t="n"/>
      <c r="D122" s="19" t="n"/>
      <c r="E122" s="17" t="n"/>
      <c r="F122" s="19" t="n"/>
      <c r="G122" s="20" t="n"/>
      <c r="H122" s="36" t="n"/>
      <c r="I122" s="19" t="n"/>
      <c r="J122" s="19" t="n"/>
      <c r="K122" s="17" t="n"/>
      <c r="L122" s="17" t="n"/>
      <c r="M122" s="35" t="n"/>
      <c r="N122" s="36" t="n"/>
      <c r="O122" s="37">
        <f>IF($A122="","",IF(AND(ISNUMBER($H122),ISNUMBER($N122)),$N122-$H122,""))</f>
        <v/>
      </c>
      <c r="P122" s="38">
        <f>IF(OR($A122="",NOT(ISNUMBER($C122))),"",$C122-TODAY())</f>
        <v/>
      </c>
      <c r="Q122" s="24">
        <f>IF($A122="","",IF(OR(NOT(ISNUMBER($B122)),NOT(ISNUMBER($C122))),"Completar fechas",IF(OR($D122="",$E122="",$F122="",$I122="",$J122="",$K122="",$L122="",NOT(ISNUMBER($G122)),NOT(ISNUMBER($H122))),"Completar datos",IF($C122&lt;$B122,"Revisar fechas",IF(AND($L122="Aplicado",NOT(ISNUMBER($M122))),"Falta fecha de aplicación",IF(AND($L122="Aplicado",NOT(ISNUMBER($N122))),"Falta importe final",IF(AND($L122&lt;&gt;"Aplicado",ISNUMBER($M122)),"Revisar fecha de aplicación",IF(AND($K122="Rechazado",$L122&lt;&gt;"Cancelado"),"Revisar estados",IF(AND($H122&gt;=$Y$8,$K122="Pendiente"),"Revisar aprobación",IF(AND($P122&lt;=$Z$8,$P122&gt;=0,$L122="Pendiente"),"Salida próxima: comprobar",IF(AND($P122&lt;0,$L122="Pendiente"),"Salida pasada: comprobar","")))))))))))</f>
        <v/>
      </c>
      <c r="R122">
        <f>IFERROR(INDEX('Parámetros'!$E$4:$E$8,115),"")</f>
        <v/>
      </c>
      <c r="S122">
        <f>IFERROR(INDEX('Parámetros'!$F$4:$F$7,115),"")</f>
        <v/>
      </c>
      <c r="T122">
        <f>IFERROR(INDEX('Parámetros'!$G$4:$G$6,115),"")</f>
        <v/>
      </c>
    </row>
    <row r="123" ht="32" customHeight="1">
      <c r="A123" s="17" t="n"/>
      <c r="B123" s="35" t="n"/>
      <c r="C123" s="35" t="n"/>
      <c r="D123" s="19" t="n"/>
      <c r="E123" s="17" t="n"/>
      <c r="F123" s="19" t="n"/>
      <c r="G123" s="20" t="n"/>
      <c r="H123" s="36" t="n"/>
      <c r="I123" s="19" t="n"/>
      <c r="J123" s="19" t="n"/>
      <c r="K123" s="17" t="n"/>
      <c r="L123" s="17" t="n"/>
      <c r="M123" s="35" t="n"/>
      <c r="N123" s="36" t="n"/>
      <c r="O123" s="33">
        <f>IF($A123="","",IF(AND(ISNUMBER($H123),ISNUMBER($N123)),$N123-$H123,""))</f>
        <v/>
      </c>
      <c r="P123" s="34">
        <f>IF(OR($A123="",NOT(ISNUMBER($C123))),"",$C123-TODAY())</f>
        <v/>
      </c>
      <c r="Q123" s="25">
        <f>IF($A123="","",IF(OR(NOT(ISNUMBER($B123)),NOT(ISNUMBER($C123))),"Completar fechas",IF(OR($D123="",$E123="",$F123="",$I123="",$J123="",$K123="",$L123="",NOT(ISNUMBER($G123)),NOT(ISNUMBER($H123))),"Completar datos",IF($C123&lt;$B123,"Revisar fechas",IF(AND($L123="Aplicado",NOT(ISNUMBER($M123))),"Falta fecha de aplicación",IF(AND($L123="Aplicado",NOT(ISNUMBER($N123))),"Falta importe final",IF(AND($L123&lt;&gt;"Aplicado",ISNUMBER($M123)),"Revisar fecha de aplicación",IF(AND($K123="Rechazado",$L123&lt;&gt;"Cancelado"),"Revisar estados",IF(AND($H123&gt;=$Y$8,$K123="Pendiente"),"Revisar aprobación",IF(AND($P123&lt;=$Z$8,$P123&gt;=0,$L123="Pendiente"),"Salida próxima: comprobar",IF(AND($P123&lt;0,$L123="Pendiente"),"Salida pasada: comprobar","")))))))))))</f>
        <v/>
      </c>
      <c r="R123">
        <f>IFERROR(INDEX('Parámetros'!$E$4:$E$8,116),"")</f>
        <v/>
      </c>
      <c r="S123">
        <f>IFERROR(INDEX('Parámetros'!$F$4:$F$7,116),"")</f>
        <v/>
      </c>
      <c r="T123">
        <f>IFERROR(INDEX('Parámetros'!$G$4:$G$6,116),"")</f>
        <v/>
      </c>
    </row>
    <row r="124" ht="32" customHeight="1">
      <c r="A124" s="17" t="n"/>
      <c r="B124" s="35" t="n"/>
      <c r="C124" s="35" t="n"/>
      <c r="D124" s="19" t="n"/>
      <c r="E124" s="17" t="n"/>
      <c r="F124" s="19" t="n"/>
      <c r="G124" s="20" t="n"/>
      <c r="H124" s="36" t="n"/>
      <c r="I124" s="19" t="n"/>
      <c r="J124" s="19" t="n"/>
      <c r="K124" s="17" t="n"/>
      <c r="L124" s="17" t="n"/>
      <c r="M124" s="35" t="n"/>
      <c r="N124" s="36" t="n"/>
      <c r="O124" s="37">
        <f>IF($A124="","",IF(AND(ISNUMBER($H124),ISNUMBER($N124)),$N124-$H124,""))</f>
        <v/>
      </c>
      <c r="P124" s="38">
        <f>IF(OR($A124="",NOT(ISNUMBER($C124))),"",$C124-TODAY())</f>
        <v/>
      </c>
      <c r="Q124" s="24">
        <f>IF($A124="","",IF(OR(NOT(ISNUMBER($B124)),NOT(ISNUMBER($C124))),"Completar fechas",IF(OR($D124="",$E124="",$F124="",$I124="",$J124="",$K124="",$L124="",NOT(ISNUMBER($G124)),NOT(ISNUMBER($H124))),"Completar datos",IF($C124&lt;$B124,"Revisar fechas",IF(AND($L124="Aplicado",NOT(ISNUMBER($M124))),"Falta fecha de aplicación",IF(AND($L124="Aplicado",NOT(ISNUMBER($N124))),"Falta importe final",IF(AND($L124&lt;&gt;"Aplicado",ISNUMBER($M124)),"Revisar fecha de aplicación",IF(AND($K124="Rechazado",$L124&lt;&gt;"Cancelado"),"Revisar estados",IF(AND($H124&gt;=$Y$8,$K124="Pendiente"),"Revisar aprobación",IF(AND($P124&lt;=$Z$8,$P124&gt;=0,$L124="Pendiente"),"Salida próxima: comprobar",IF(AND($P124&lt;0,$L124="Pendiente"),"Salida pasada: comprobar","")))))))))))</f>
        <v/>
      </c>
      <c r="R124">
        <f>IFERROR(INDEX('Parámetros'!$E$4:$E$8,117),"")</f>
        <v/>
      </c>
      <c r="S124">
        <f>IFERROR(INDEX('Parámetros'!$F$4:$F$7,117),"")</f>
        <v/>
      </c>
      <c r="T124">
        <f>IFERROR(INDEX('Parámetros'!$G$4:$G$6,117),"")</f>
        <v/>
      </c>
    </row>
    <row r="125" ht="32" customHeight="1">
      <c r="A125" s="17" t="n"/>
      <c r="B125" s="35" t="n"/>
      <c r="C125" s="35" t="n"/>
      <c r="D125" s="19" t="n"/>
      <c r="E125" s="17" t="n"/>
      <c r="F125" s="19" t="n"/>
      <c r="G125" s="20" t="n"/>
      <c r="H125" s="36" t="n"/>
      <c r="I125" s="19" t="n"/>
      <c r="J125" s="19" t="n"/>
      <c r="K125" s="17" t="n"/>
      <c r="L125" s="17" t="n"/>
      <c r="M125" s="35" t="n"/>
      <c r="N125" s="36" t="n"/>
      <c r="O125" s="33">
        <f>IF($A125="","",IF(AND(ISNUMBER($H125),ISNUMBER($N125)),$N125-$H125,""))</f>
        <v/>
      </c>
      <c r="P125" s="34">
        <f>IF(OR($A125="",NOT(ISNUMBER($C125))),"",$C125-TODAY())</f>
        <v/>
      </c>
      <c r="Q125" s="25">
        <f>IF($A125="","",IF(OR(NOT(ISNUMBER($B125)),NOT(ISNUMBER($C125))),"Completar fechas",IF(OR($D125="",$E125="",$F125="",$I125="",$J125="",$K125="",$L125="",NOT(ISNUMBER($G125)),NOT(ISNUMBER($H125))),"Completar datos",IF($C125&lt;$B125,"Revisar fechas",IF(AND($L125="Aplicado",NOT(ISNUMBER($M125))),"Falta fecha de aplicación",IF(AND($L125="Aplicado",NOT(ISNUMBER($N125))),"Falta importe final",IF(AND($L125&lt;&gt;"Aplicado",ISNUMBER($M125)),"Revisar fecha de aplicación",IF(AND($K125="Rechazado",$L125&lt;&gt;"Cancelado"),"Revisar estados",IF(AND($H125&gt;=$Y$8,$K125="Pendiente"),"Revisar aprobación",IF(AND($P125&lt;=$Z$8,$P125&gt;=0,$L125="Pendiente"),"Salida próxima: comprobar",IF(AND($P125&lt;0,$L125="Pendiente"),"Salida pasada: comprobar","")))))))))))</f>
        <v/>
      </c>
      <c r="R125">
        <f>IFERROR(INDEX('Parámetros'!$E$4:$E$8,118),"")</f>
        <v/>
      </c>
      <c r="S125">
        <f>IFERROR(INDEX('Parámetros'!$F$4:$F$7,118),"")</f>
        <v/>
      </c>
      <c r="T125">
        <f>IFERROR(INDEX('Parámetros'!$G$4:$G$6,118),"")</f>
        <v/>
      </c>
    </row>
    <row r="126" ht="32" customHeight="1">
      <c r="A126" s="17" t="n"/>
      <c r="B126" s="35" t="n"/>
      <c r="C126" s="35" t="n"/>
      <c r="D126" s="19" t="n"/>
      <c r="E126" s="17" t="n"/>
      <c r="F126" s="19" t="n"/>
      <c r="G126" s="20" t="n"/>
      <c r="H126" s="36" t="n"/>
      <c r="I126" s="19" t="n"/>
      <c r="J126" s="19" t="n"/>
      <c r="K126" s="17" t="n"/>
      <c r="L126" s="17" t="n"/>
      <c r="M126" s="35" t="n"/>
      <c r="N126" s="36" t="n"/>
      <c r="O126" s="37">
        <f>IF($A126="","",IF(AND(ISNUMBER($H126),ISNUMBER($N126)),$N126-$H126,""))</f>
        <v/>
      </c>
      <c r="P126" s="38">
        <f>IF(OR($A126="",NOT(ISNUMBER($C126))),"",$C126-TODAY())</f>
        <v/>
      </c>
      <c r="Q126" s="24">
        <f>IF($A126="","",IF(OR(NOT(ISNUMBER($B126)),NOT(ISNUMBER($C126))),"Completar fechas",IF(OR($D126="",$E126="",$F126="",$I126="",$J126="",$K126="",$L126="",NOT(ISNUMBER($G126)),NOT(ISNUMBER($H126))),"Completar datos",IF($C126&lt;$B126,"Revisar fechas",IF(AND($L126="Aplicado",NOT(ISNUMBER($M126))),"Falta fecha de aplicación",IF(AND($L126="Aplicado",NOT(ISNUMBER($N126))),"Falta importe final",IF(AND($L126&lt;&gt;"Aplicado",ISNUMBER($M126)),"Revisar fecha de aplicación",IF(AND($K126="Rechazado",$L126&lt;&gt;"Cancelado"),"Revisar estados",IF(AND($H126&gt;=$Y$8,$K126="Pendiente"),"Revisar aprobación",IF(AND($P126&lt;=$Z$8,$P126&gt;=0,$L126="Pendiente"),"Salida próxima: comprobar",IF(AND($P126&lt;0,$L126="Pendiente"),"Salida pasada: comprobar","")))))))))))</f>
        <v/>
      </c>
      <c r="R126">
        <f>IFERROR(INDEX('Parámetros'!$E$4:$E$8,119),"")</f>
        <v/>
      </c>
      <c r="S126">
        <f>IFERROR(INDEX('Parámetros'!$F$4:$F$7,119),"")</f>
        <v/>
      </c>
      <c r="T126">
        <f>IFERROR(INDEX('Parámetros'!$G$4:$G$6,119),"")</f>
        <v/>
      </c>
    </row>
    <row r="127" ht="32" customHeight="1">
      <c r="A127" s="17" t="n"/>
      <c r="B127" s="35" t="n"/>
      <c r="C127" s="35" t="n"/>
      <c r="D127" s="19" t="n"/>
      <c r="E127" s="17" t="n"/>
      <c r="F127" s="19" t="n"/>
      <c r="G127" s="20" t="n"/>
      <c r="H127" s="36" t="n"/>
      <c r="I127" s="19" t="n"/>
      <c r="J127" s="19" t="n"/>
      <c r="K127" s="17" t="n"/>
      <c r="L127" s="17" t="n"/>
      <c r="M127" s="35" t="n"/>
      <c r="N127" s="36" t="n"/>
      <c r="O127" s="33">
        <f>IF($A127="","",IF(AND(ISNUMBER($H127),ISNUMBER($N127)),$N127-$H127,""))</f>
        <v/>
      </c>
      <c r="P127" s="34">
        <f>IF(OR($A127="",NOT(ISNUMBER($C127))),"",$C127-TODAY())</f>
        <v/>
      </c>
      <c r="Q127" s="25">
        <f>IF($A127="","",IF(OR(NOT(ISNUMBER($B127)),NOT(ISNUMBER($C127))),"Completar fechas",IF(OR($D127="",$E127="",$F127="",$I127="",$J127="",$K127="",$L127="",NOT(ISNUMBER($G127)),NOT(ISNUMBER($H127))),"Completar datos",IF($C127&lt;$B127,"Revisar fechas",IF(AND($L127="Aplicado",NOT(ISNUMBER($M127))),"Falta fecha de aplicación",IF(AND($L127="Aplicado",NOT(ISNUMBER($N127))),"Falta importe final",IF(AND($L127&lt;&gt;"Aplicado",ISNUMBER($M127)),"Revisar fecha de aplicación",IF(AND($K127="Rechazado",$L127&lt;&gt;"Cancelado"),"Revisar estados",IF(AND($H127&gt;=$Y$8,$K127="Pendiente"),"Revisar aprobación",IF(AND($P127&lt;=$Z$8,$P127&gt;=0,$L127="Pendiente"),"Salida próxima: comprobar",IF(AND($P127&lt;0,$L127="Pendiente"),"Salida pasada: comprobar","")))))))))))</f>
        <v/>
      </c>
      <c r="R127">
        <f>IFERROR(INDEX('Parámetros'!$E$4:$E$8,120),"")</f>
        <v/>
      </c>
      <c r="S127">
        <f>IFERROR(INDEX('Parámetros'!$F$4:$F$7,120),"")</f>
        <v/>
      </c>
      <c r="T127">
        <f>IFERROR(INDEX('Parámetros'!$G$4:$G$6,120),"")</f>
        <v/>
      </c>
    </row>
  </sheetData>
  <autoFilter ref="A7:Q127"/>
  <mergeCells count="1">
    <mergeCell ref="A1:Q1"/>
  </mergeCells>
  <conditionalFormatting sqref="K8:K127">
    <cfRule type="expression" priority="1" dxfId="1" stopIfTrue="1">
      <formula>$K8="Aprobado"</formula>
    </cfRule>
    <cfRule type="expression" priority="2" dxfId="2" stopIfTrue="1">
      <formula>$K8="Rechazado"</formula>
    </cfRule>
    <cfRule type="expression" priority="3" dxfId="0" stopIfTrue="1">
      <formula>$K8="Pendiente"</formula>
    </cfRule>
  </conditionalFormatting>
  <conditionalFormatting sqref="L8:L127">
    <cfRule type="expression" priority="4" dxfId="1" stopIfTrue="1">
      <formula>$L8="Aplicado"</formula>
    </cfRule>
    <cfRule type="expression" priority="5" dxfId="2" stopIfTrue="1">
      <formula>$L8="Cancelado"</formula>
    </cfRule>
    <cfRule type="expression" priority="6" dxfId="0" stopIfTrue="1">
      <formula>$L8="Pendiente"</formula>
    </cfRule>
  </conditionalFormatting>
  <conditionalFormatting sqref="O8:O127">
    <cfRule type="expression" priority="7" dxfId="2" stopIfTrue="1">
      <formula>AND(ISNUMBER($O8),$O8&gt;0)</formula>
    </cfRule>
    <cfRule type="expression" priority="8" dxfId="1" stopIfTrue="1">
      <formula>AND(ISNUMBER($O8),$O8&lt;0)</formula>
    </cfRule>
  </conditionalFormatting>
  <conditionalFormatting sqref="Q8:Q127">
    <cfRule type="expression" priority="9" dxfId="2" stopIfTrue="1">
      <formula>$Q8&lt;&gt;""</formula>
    </cfRule>
  </conditionalFormatting>
  <dataValidations count="6">
    <dataValidation sqref="E8:E127" showDropDown="0" showInputMessage="1" showErrorMessage="1" allowBlank="0" errorTitle="Servicio no válido" error="Selecciona un servicio de la lista editable de Parámetros." promptTitle="Servicio" prompt="Selecciona el tipo de servicio." type="list">
      <formula1>$R$8:$R$12</formula1>
    </dataValidation>
    <dataValidation sqref="K8:K127" showDropDown="0" showInputMessage="0" showErrorMessage="1" allowBlank="0" errorTitle="Aprobación no válida" error="Selecciona un estado de aprobación de la lista." type="list">
      <formula1>$S$8:$S$11</formula1>
    </dataValidation>
    <dataValidation sqref="L8:L127" showDropDown="0" showInputMessage="0" showErrorMessage="1" allowBlank="0" errorTitle="Aplicación no válida" error="Selecciona un estado de aplicación de la lista." type="list">
      <formula1>$T$8:$T$10</formula1>
    </dataValidation>
    <dataValidation sqref="G8:G127" showDropDown="0" showInputMessage="0" showErrorMessage="1" allowBlank="0" errorTitle="Cantidad no válida" error="Introduce una cantidad entera dentro del límite editable." type="whole" operator="between">
      <formula1>1</formula1>
      <formula2>$U$8</formula2>
    </dataValidation>
    <dataValidation sqref="H8:H127 N8:N127" showDropDown="0" showInputMessage="0" showErrorMessage="1" allowBlank="0" errorTitle="Importe no válido" error="Introduce un importe entre cero y el máximo definido en Parámetros." type="decimal" operator="between">
      <formula1>0</formula1>
      <formula2>$V$8</formula2>
    </dataValidation>
    <dataValidation sqref="B8:C127 M8:M127" showDropDown="0" showInputMessage="0" showErrorMessage="1" allowBlank="0" errorTitle="Fecha no válida" error="Introduce una fecha dentro de los límites editables de Parámetros." type="date" operator="between">
      <formula1>$W$8</formula1>
      <formula2>$X$8</formula2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46" customWidth="1" min="3" max="3"/>
    <col width="3" customWidth="1" min="4" max="4"/>
    <col width="20" customWidth="1" min="5" max="5"/>
    <col width="18" customWidth="1" min="6" max="6"/>
    <col width="18" customWidth="1" min="7" max="7"/>
  </cols>
  <sheetData>
    <row r="1" ht="28" customHeight="1">
      <c r="A1" s="1" t="inlineStr">
        <is>
          <t>Parámetros editables del registro de cambios</t>
        </is>
      </c>
      <c r="B1" s="28" t="n"/>
      <c r="C1" s="28" t="n"/>
      <c r="D1" s="28" t="n"/>
      <c r="E1" s="28" t="n"/>
      <c r="F1" s="28" t="n"/>
      <c r="G1" s="29" t="n"/>
    </row>
    <row r="2"/>
    <row r="3">
      <c r="A3" s="2" t="inlineStr">
        <is>
          <t>Supuesto editable</t>
        </is>
      </c>
      <c r="B3" s="2" t="inlineStr">
        <is>
          <t>Valor</t>
        </is>
      </c>
      <c r="C3" s="2" t="inlineStr">
        <is>
          <t>Uso operativo</t>
        </is>
      </c>
      <c r="E3" s="2" t="inlineStr">
        <is>
          <t>Servicios</t>
        </is>
      </c>
      <c r="F3" s="2" t="inlineStr">
        <is>
          <t>Aprobación</t>
        </is>
      </c>
      <c r="G3" s="2" t="inlineStr">
        <is>
          <t>Aplicación</t>
        </is>
      </c>
    </row>
    <row r="4">
      <c r="A4" s="24" t="inlineStr">
        <is>
          <t>Umbral de importe previsto para revisión</t>
        </is>
      </c>
      <c r="B4" s="36" t="n">
        <v>300</v>
      </c>
      <c r="C4" s="24" t="inlineStr">
        <is>
          <t>€; criterio interno editable para comprobación humana</t>
        </is>
      </c>
      <c r="E4" s="26" t="inlineStr">
        <is>
          <t>Alojamiento</t>
        </is>
      </c>
      <c r="F4" s="26" t="inlineStr">
        <is>
          <t>Pendiente</t>
        </is>
      </c>
      <c r="G4" s="26" t="inlineStr">
        <is>
          <t>Pendiente</t>
        </is>
      </c>
    </row>
    <row r="5">
      <c r="A5" s="25" t="inlineStr">
        <is>
          <t>Antelación para aviso de salida</t>
        </is>
      </c>
      <c r="B5" s="20" t="n">
        <v>7</v>
      </c>
      <c r="C5" s="25" t="inlineStr">
        <is>
          <t>días; criterio interno editable</t>
        </is>
      </c>
      <c r="E5" s="26" t="inlineStr">
        <is>
          <t>Transporte</t>
        </is>
      </c>
      <c r="F5" s="26" t="inlineStr">
        <is>
          <t>Aprobado</t>
        </is>
      </c>
      <c r="G5" s="26" t="inlineStr">
        <is>
          <t>Aplicado</t>
        </is>
      </c>
    </row>
    <row r="6">
      <c r="A6" s="24" t="inlineStr">
        <is>
          <t>Cantidad máxima por cambio</t>
        </is>
      </c>
      <c r="B6" s="20" t="n">
        <v>20</v>
      </c>
      <c r="C6" s="24" t="inlineStr">
        <is>
          <t>personas, noches, plazas, trayectos o servicios</t>
        </is>
      </c>
      <c r="E6" s="26" t="inlineStr">
        <is>
          <t>Traslado</t>
        </is>
      </c>
      <c r="F6" s="26" t="inlineStr">
        <is>
          <t>Rechazado</t>
        </is>
      </c>
      <c r="G6" s="26" t="inlineStr">
        <is>
          <t>Cancelado</t>
        </is>
      </c>
    </row>
    <row r="7">
      <c r="A7" s="25" t="inlineStr">
        <is>
          <t>Importe máximo admisible por registro</t>
        </is>
      </c>
      <c r="B7" s="36" t="n">
        <v>10000</v>
      </c>
      <c r="C7" s="25" t="inlineStr">
        <is>
          <t>€; límite interno editable, no tarifa garantizada</t>
        </is>
      </c>
      <c r="E7" s="26" t="inlineStr">
        <is>
          <t>Actividad</t>
        </is>
      </c>
      <c r="F7" s="26" t="inlineStr">
        <is>
          <t>No requerida</t>
        </is>
      </c>
      <c r="G7" s="6" t="n"/>
    </row>
    <row r="8">
      <c r="A8" s="24" t="inlineStr">
        <is>
          <t>Fecha mínima admisible</t>
        </is>
      </c>
      <c r="B8" s="35" t="n">
        <v>45911</v>
      </c>
      <c r="C8" s="24" t="inlineStr">
        <is>
          <t>límite editable para las fechas del registro</t>
        </is>
      </c>
      <c r="E8" s="26" t="inlineStr">
        <is>
          <t>Seguro</t>
        </is>
      </c>
      <c r="F8" s="6" t="n"/>
      <c r="G8" s="6" t="n"/>
    </row>
    <row r="9">
      <c r="A9" s="25" t="inlineStr">
        <is>
          <t>Fecha máxima admisible</t>
        </is>
      </c>
      <c r="B9" s="35" t="n">
        <v>47006</v>
      </c>
      <c r="C9" s="25" t="inlineStr">
        <is>
          <t>límite editable para las fechas del registro</t>
        </is>
      </c>
    </row>
    <row r="10"/>
    <row r="11" ht="32" customHeight="1">
      <c r="A11" s="27" t="inlineStr">
        <is>
          <t>Las listas y los límites son supuestos internos editables. Cualquier aviso requiere comprobación humana.</t>
        </is>
      </c>
    </row>
  </sheetData>
  <mergeCells count="1">
    <mergeCell ref="A1:G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ficticia de ejemplo</dc:creator>
  <dc:title xmlns:dc="http://purl.org/dc/elements/1.1/">Registro de cambios de reserva</dc:title>
  <dc:subject xmlns:dc="http://purl.org/dc/elements/1.1/">Control operativo de cambios de reservas ficticias</dc:subject>
  <dcterms:created xmlns:dcterms="http://purl.org/dc/terms/" xmlns:xsi="http://www.w3.org/2001/XMLSchema-instance" xsi:type="dcterms:W3CDTF">2026-09-11T12:39:15Z</dcterms:created>
  <dcterms:modified xmlns:dcterms="http://purl.org/dc/terms/" xmlns:xsi="http://www.w3.org/2001/XMLSchema-instance" xsi:type="dcterms:W3CDTF">2026-09-11T12:39:16+00:00Z</dcterms:modified>
</cp:coreProperties>
</file>